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ailid\RTK\Kasutajad\Merit.tints\Desktop\"/>
    </mc:Choice>
  </mc:AlternateContent>
  <xr:revisionPtr revIDLastSave="0" documentId="8_{92290F08-49D1-428F-9D25-BB4A0D20C6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сходные данные " sheetId="14" r:id="rId1"/>
    <sheet name="Продукция" sheetId="17" r:id="rId2"/>
    <sheet name="Кассовый денежный поток" sheetId="13" r:id="rId3"/>
    <sheet name="Отчет о прибыли" sheetId="15" r:id="rId4"/>
    <sheet name="Баланс" sheetId="16" r:id="rId5"/>
    <sheet name="Работники" sheetId="18" r:id="rId6"/>
    <sheet name="образец бюджета пособия" sheetId="20" r:id="rId7"/>
    <sheet name="grant budget sample" sheetId="19" state="hidden" r:id="rId8"/>
  </sheets>
  <externalReferences>
    <externalReference r:id="rId9"/>
  </externalReferences>
  <definedNames>
    <definedName name="kohu1">Баланс!$B$33:$B$38</definedName>
    <definedName name="kohu2">Баланс!$B$35:$B$38</definedName>
    <definedName name="_xlnm.Print_Area" localSheetId="3">'Отчет о прибыли'!$A$1:$E$71</definedName>
    <definedName name="_xlnm.Print_Area" localSheetId="1">Продукция!$A$1:$U$61</definedName>
    <definedName name="_xlnm.Print_Titles" localSheetId="2">'Кассовый денежный поток'!$A:$A,'Кассовый денежный поток'!$1:$2</definedName>
    <definedName name="_xlnm.Print_Titles" localSheetId="1">Продукция!$A:$D,Продукция!$1:$1</definedName>
    <definedName name="raha1">Баланс!$B$6:$B$11</definedName>
    <definedName name="raha2">Баланс!$B$7:$B$11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6" l="1"/>
  <c r="E34" i="16"/>
  <c r="D34" i="16"/>
  <c r="C34" i="16"/>
  <c r="G21" i="20"/>
  <c r="F20" i="20"/>
  <c r="G20" i="20" s="1"/>
  <c r="G19" i="20"/>
  <c r="G18" i="20"/>
  <c r="F17" i="20"/>
  <c r="G17" i="20" s="1"/>
  <c r="G16" i="20"/>
  <c r="G15" i="20"/>
  <c r="F14" i="20"/>
  <c r="G14" i="20" s="1"/>
  <c r="G13" i="20"/>
  <c r="G12" i="20"/>
  <c r="G11" i="20"/>
  <c r="G10" i="20"/>
  <c r="F10" i="20"/>
  <c r="G9" i="20"/>
  <c r="G8" i="20"/>
  <c r="G7" i="20"/>
  <c r="G6" i="20"/>
  <c r="F5" i="20"/>
  <c r="A57" i="15"/>
  <c r="A55" i="15"/>
  <c r="A53" i="15"/>
  <c r="A52" i="15"/>
  <c r="A51" i="15"/>
  <c r="A49" i="15"/>
  <c r="A48" i="15"/>
  <c r="A47" i="15"/>
  <c r="A46" i="15"/>
  <c r="A44" i="15"/>
  <c r="A43" i="15"/>
  <c r="A42" i="15"/>
  <c r="A40" i="15"/>
  <c r="A39" i="15"/>
  <c r="A38" i="15"/>
  <c r="A37" i="15"/>
  <c r="A35" i="15"/>
  <c r="A34" i="15"/>
  <c r="A33" i="15"/>
  <c r="A32" i="15"/>
  <c r="A31" i="15"/>
  <c r="A30" i="15"/>
  <c r="A29" i="15"/>
  <c r="A25" i="15"/>
  <c r="A24" i="15"/>
  <c r="A23" i="15"/>
  <c r="A20" i="15"/>
  <c r="A19" i="15"/>
  <c r="E31" i="17"/>
  <c r="E26" i="17"/>
  <c r="E21" i="17"/>
  <c r="E16" i="17"/>
  <c r="E6" i="17"/>
  <c r="E7" i="17" s="1"/>
  <c r="E5" i="17"/>
  <c r="E2" i="17"/>
  <c r="F22" i="20" l="1"/>
  <c r="G22" i="20"/>
  <c r="G23" i="20" s="1"/>
  <c r="F24" i="20"/>
  <c r="G24" i="20" s="1"/>
  <c r="G5" i="20"/>
  <c r="E8" i="17"/>
  <c r="Q88" i="13"/>
  <c r="P88" i="13"/>
  <c r="O88" i="13"/>
  <c r="M88" i="13"/>
  <c r="L88" i="13"/>
  <c r="K88" i="13"/>
  <c r="J88" i="13"/>
  <c r="I88" i="13"/>
  <c r="H88" i="13"/>
  <c r="G88" i="13"/>
  <c r="F88" i="13"/>
  <c r="E88" i="13"/>
  <c r="O16" i="13"/>
  <c r="P15" i="13"/>
  <c r="Q15" i="13"/>
  <c r="O15" i="13"/>
  <c r="E15" i="13"/>
  <c r="F15" i="13"/>
  <c r="G15" i="13"/>
  <c r="H15" i="13"/>
  <c r="I15" i="13"/>
  <c r="J15" i="13"/>
  <c r="K15" i="13"/>
  <c r="L15" i="13"/>
  <c r="M15" i="13"/>
  <c r="D16" i="13"/>
  <c r="E16" i="13"/>
  <c r="F16" i="13"/>
  <c r="G16" i="13"/>
  <c r="H16" i="13"/>
  <c r="H17" i="13" s="1"/>
  <c r="I16" i="13"/>
  <c r="I17" i="13" s="1"/>
  <c r="J16" i="13"/>
  <c r="K16" i="13"/>
  <c r="L16" i="13"/>
  <c r="M16" i="13"/>
  <c r="J17" i="13" l="1"/>
  <c r="M17" i="13"/>
  <c r="L17" i="13"/>
  <c r="K17" i="13"/>
  <c r="G17" i="13"/>
  <c r="E17" i="13"/>
  <c r="O17" i="13"/>
  <c r="F17" i="13"/>
  <c r="D103" i="13"/>
  <c r="E103" i="13"/>
  <c r="F103" i="13"/>
  <c r="G103" i="13"/>
  <c r="H103" i="13"/>
  <c r="I103" i="13"/>
  <c r="J103" i="13"/>
  <c r="K103" i="13"/>
  <c r="L103" i="13"/>
  <c r="M103" i="13"/>
  <c r="B103" i="13"/>
  <c r="C103" i="13"/>
  <c r="C12" i="15"/>
  <c r="D12" i="15"/>
  <c r="E12" i="15"/>
  <c r="O103" i="13"/>
  <c r="P103" i="13"/>
  <c r="Q103" i="13"/>
  <c r="C106" i="13"/>
  <c r="C109" i="13" s="1"/>
  <c r="C58" i="13"/>
  <c r="D58" i="13"/>
  <c r="E58" i="13"/>
  <c r="F58" i="13"/>
  <c r="G58" i="13"/>
  <c r="H58" i="13"/>
  <c r="I58" i="13"/>
  <c r="J58" i="13"/>
  <c r="K58" i="13"/>
  <c r="L58" i="13"/>
  <c r="M58" i="13"/>
  <c r="B58" i="13"/>
  <c r="N58" i="13" s="1"/>
  <c r="O83" i="13"/>
  <c r="C52" i="15" s="1"/>
  <c r="Q83" i="13"/>
  <c r="P83" i="13"/>
  <c r="D52" i="15" s="1"/>
  <c r="N82" i="13"/>
  <c r="Q84" i="13"/>
  <c r="E53" i="15"/>
  <c r="P84" i="13"/>
  <c r="D53" i="15" s="1"/>
  <c r="N26" i="13"/>
  <c r="M84" i="13"/>
  <c r="L84" i="13"/>
  <c r="K84" i="13"/>
  <c r="J84" i="13"/>
  <c r="I84" i="13"/>
  <c r="N84" i="13" s="1"/>
  <c r="B53" i="15" s="1"/>
  <c r="H84" i="13"/>
  <c r="G84" i="13"/>
  <c r="F84" i="13"/>
  <c r="E84" i="13"/>
  <c r="D84" i="13"/>
  <c r="C84" i="13"/>
  <c r="G19" i="19"/>
  <c r="G21" i="19"/>
  <c r="F20" i="19"/>
  <c r="G20" i="19" s="1"/>
  <c r="G16" i="19"/>
  <c r="G15" i="19"/>
  <c r="F14" i="19"/>
  <c r="G18" i="19"/>
  <c r="F17" i="19"/>
  <c r="G13" i="19"/>
  <c r="G12" i="19"/>
  <c r="G11" i="19"/>
  <c r="F10" i="19"/>
  <c r="G10" i="19"/>
  <c r="G9" i="19"/>
  <c r="G8" i="19"/>
  <c r="G7" i="19"/>
  <c r="G6" i="19"/>
  <c r="F5" i="19"/>
  <c r="G5" i="19" s="1"/>
  <c r="B25" i="16"/>
  <c r="R12" i="17"/>
  <c r="E23" i="15"/>
  <c r="E2" i="15"/>
  <c r="F16" i="17"/>
  <c r="X11" i="17"/>
  <c r="AJ11" i="17" s="1"/>
  <c r="Y11" i="17"/>
  <c r="Z11" i="17"/>
  <c r="AA11" i="17"/>
  <c r="AB11" i="17"/>
  <c r="AC11" i="17"/>
  <c r="AD11" i="17"/>
  <c r="AE11" i="17"/>
  <c r="AF11" i="17"/>
  <c r="AG11" i="17"/>
  <c r="AH11" i="17"/>
  <c r="AI11" i="17"/>
  <c r="W11" i="17"/>
  <c r="X10" i="17"/>
  <c r="Y10" i="17"/>
  <c r="Z10" i="17"/>
  <c r="AA10" i="17"/>
  <c r="AJ10" i="17" s="1"/>
  <c r="AB10" i="17"/>
  <c r="AC10" i="17"/>
  <c r="AD10" i="17"/>
  <c r="AE10" i="17"/>
  <c r="AF10" i="17"/>
  <c r="AG10" i="17"/>
  <c r="AH10" i="17"/>
  <c r="AI10" i="17"/>
  <c r="W10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W9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W8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W7" i="17"/>
  <c r="X6" i="17"/>
  <c r="Y6" i="17"/>
  <c r="Z6" i="17"/>
  <c r="AA6" i="17"/>
  <c r="AB6" i="17"/>
  <c r="AC6" i="17"/>
  <c r="AD6" i="17"/>
  <c r="AE6" i="17"/>
  <c r="AF6" i="17"/>
  <c r="AG6" i="17"/>
  <c r="AH6" i="17"/>
  <c r="AI6" i="17"/>
  <c r="W6" i="17"/>
  <c r="AM11" i="17"/>
  <c r="AM10" i="17"/>
  <c r="AM9" i="17"/>
  <c r="AM8" i="17"/>
  <c r="AM7" i="17"/>
  <c r="AM6" i="17"/>
  <c r="AL11" i="17"/>
  <c r="AL10" i="17"/>
  <c r="AL9" i="17"/>
  <c r="AL8" i="17"/>
  <c r="AL7" i="17"/>
  <c r="AL6" i="17"/>
  <c r="AK11" i="17"/>
  <c r="AK10" i="17"/>
  <c r="AK9" i="17"/>
  <c r="AK8" i="17"/>
  <c r="AK7" i="17"/>
  <c r="AK6" i="17"/>
  <c r="AM5" i="17"/>
  <c r="AK5" i="17"/>
  <c r="X5" i="17"/>
  <c r="Y5" i="17"/>
  <c r="Z5" i="17"/>
  <c r="AA5" i="17"/>
  <c r="AB5" i="17"/>
  <c r="AC5" i="17"/>
  <c r="AD5" i="17"/>
  <c r="AE5" i="17"/>
  <c r="AF5" i="17"/>
  <c r="AG5" i="17"/>
  <c r="AH5" i="17"/>
  <c r="AI5" i="17"/>
  <c r="W5" i="17"/>
  <c r="AL5" i="17"/>
  <c r="AM3" i="17"/>
  <c r="AL3" i="17"/>
  <c r="AK3" i="17"/>
  <c r="X3" i="17"/>
  <c r="Y3" i="17"/>
  <c r="Z3" i="17"/>
  <c r="AA3" i="17"/>
  <c r="AB3" i="17"/>
  <c r="AC3" i="17"/>
  <c r="AD3" i="17"/>
  <c r="AE3" i="17"/>
  <c r="AF3" i="17"/>
  <c r="AG3" i="17"/>
  <c r="AH3" i="17"/>
  <c r="AI3" i="17"/>
  <c r="W3" i="17"/>
  <c r="AK2" i="17"/>
  <c r="X2" i="17"/>
  <c r="Y2" i="17"/>
  <c r="Z2" i="17"/>
  <c r="AA2" i="17"/>
  <c r="AB2" i="17"/>
  <c r="AC2" i="17"/>
  <c r="AD2" i="17"/>
  <c r="AE2" i="17"/>
  <c r="AF2" i="17"/>
  <c r="AG2" i="17"/>
  <c r="AH2" i="17"/>
  <c r="AI2" i="17"/>
  <c r="W2" i="17"/>
  <c r="B15" i="18"/>
  <c r="B69" i="15" s="1"/>
  <c r="B70" i="15" s="1"/>
  <c r="D15" i="18"/>
  <c r="D69" i="15" s="1"/>
  <c r="D70" i="15" s="1"/>
  <c r="C47" i="16"/>
  <c r="D112" i="13"/>
  <c r="D114" i="13" s="1"/>
  <c r="E112" i="13"/>
  <c r="E114" i="13"/>
  <c r="F112" i="13"/>
  <c r="F114" i="13" s="1"/>
  <c r="G112" i="13"/>
  <c r="G114" i="13"/>
  <c r="H112" i="13"/>
  <c r="H114" i="13" s="1"/>
  <c r="I112" i="13"/>
  <c r="I114" i="13" s="1"/>
  <c r="J112" i="13"/>
  <c r="J114" i="13" s="1"/>
  <c r="K112" i="13"/>
  <c r="K114" i="13"/>
  <c r="L112" i="13"/>
  <c r="L114" i="13" s="1"/>
  <c r="M112" i="13"/>
  <c r="C112" i="13"/>
  <c r="B112" i="13"/>
  <c r="B114" i="13" s="1"/>
  <c r="N44" i="13"/>
  <c r="P112" i="13" s="1"/>
  <c r="E19" i="16" s="1"/>
  <c r="O43" i="13"/>
  <c r="P43" i="13"/>
  <c r="Q43" i="13"/>
  <c r="N28" i="13"/>
  <c r="C43" i="13"/>
  <c r="D43" i="13"/>
  <c r="E43" i="13"/>
  <c r="I113" i="13" s="1"/>
  <c r="I115" i="13" s="1"/>
  <c r="F43" i="13"/>
  <c r="G43" i="13"/>
  <c r="H43" i="13"/>
  <c r="I43" i="13"/>
  <c r="J43" i="13"/>
  <c r="K43" i="13"/>
  <c r="L43" i="13"/>
  <c r="M43" i="13"/>
  <c r="B43" i="13"/>
  <c r="C15" i="18"/>
  <c r="C69" i="15" s="1"/>
  <c r="C70" i="15" s="1"/>
  <c r="E15" i="18"/>
  <c r="E69" i="15"/>
  <c r="E70" i="15" s="1"/>
  <c r="P58" i="13"/>
  <c r="Q58" i="13"/>
  <c r="O58" i="13"/>
  <c r="N56" i="13"/>
  <c r="E2" i="18"/>
  <c r="C2" i="18"/>
  <c r="D2" i="18"/>
  <c r="B2" i="18"/>
  <c r="O37" i="13"/>
  <c r="P37" i="13"/>
  <c r="Q37" i="13"/>
  <c r="N24" i="13"/>
  <c r="N37" i="13" s="1"/>
  <c r="C37" i="13"/>
  <c r="D37" i="13"/>
  <c r="E37" i="13"/>
  <c r="F37" i="13"/>
  <c r="G37" i="13"/>
  <c r="H37" i="13"/>
  <c r="I37" i="13"/>
  <c r="J37" i="13"/>
  <c r="L107" i="13" s="1"/>
  <c r="L110" i="13" s="1"/>
  <c r="K37" i="13"/>
  <c r="L37" i="13"/>
  <c r="M37" i="13"/>
  <c r="B37" i="13"/>
  <c r="C2" i="16"/>
  <c r="D2" i="16"/>
  <c r="E2" i="16"/>
  <c r="F2" i="16"/>
  <c r="B12" i="16"/>
  <c r="B27" i="16" s="1"/>
  <c r="B39" i="16"/>
  <c r="B44" i="16"/>
  <c r="B50" i="16"/>
  <c r="B2" i="15"/>
  <c r="C2" i="15"/>
  <c r="D2" i="15"/>
  <c r="C10" i="15"/>
  <c r="D10" i="15"/>
  <c r="E10" i="15"/>
  <c r="C20" i="15"/>
  <c r="D20" i="15"/>
  <c r="E20" i="15"/>
  <c r="C23" i="15"/>
  <c r="D23" i="15"/>
  <c r="C24" i="15"/>
  <c r="C26" i="15" s="1"/>
  <c r="D24" i="15"/>
  <c r="E24" i="15"/>
  <c r="C25" i="15"/>
  <c r="D25" i="15"/>
  <c r="E25" i="15"/>
  <c r="C29" i="15"/>
  <c r="D29" i="15"/>
  <c r="E29" i="15"/>
  <c r="C30" i="15"/>
  <c r="D30" i="15"/>
  <c r="E30" i="15"/>
  <c r="C31" i="15"/>
  <c r="D31" i="15"/>
  <c r="E31" i="15"/>
  <c r="C32" i="15"/>
  <c r="D32" i="15"/>
  <c r="E32" i="15"/>
  <c r="C33" i="15"/>
  <c r="D33" i="15"/>
  <c r="E33" i="15"/>
  <c r="C34" i="15"/>
  <c r="D34" i="15"/>
  <c r="E34" i="15"/>
  <c r="C35" i="15"/>
  <c r="C64" i="15" s="1"/>
  <c r="D35" i="15"/>
  <c r="E35" i="15"/>
  <c r="C37" i="15"/>
  <c r="D37" i="15"/>
  <c r="E37" i="15"/>
  <c r="C38" i="15"/>
  <c r="D38" i="15"/>
  <c r="E38" i="15"/>
  <c r="C39" i="15"/>
  <c r="D39" i="15"/>
  <c r="E39" i="15"/>
  <c r="C40" i="15"/>
  <c r="D40" i="15"/>
  <c r="E40" i="15"/>
  <c r="C42" i="15"/>
  <c r="D42" i="15"/>
  <c r="E42" i="15"/>
  <c r="C43" i="15"/>
  <c r="D43" i="15"/>
  <c r="E43" i="15"/>
  <c r="C44" i="15"/>
  <c r="D44" i="15"/>
  <c r="E44" i="15"/>
  <c r="C46" i="15"/>
  <c r="D46" i="15"/>
  <c r="E46" i="15"/>
  <c r="C47" i="15"/>
  <c r="D47" i="15"/>
  <c r="E47" i="15"/>
  <c r="C48" i="15"/>
  <c r="D48" i="15"/>
  <c r="E48" i="15"/>
  <c r="C49" i="15"/>
  <c r="D49" i="15"/>
  <c r="E49" i="15"/>
  <c r="C51" i="15"/>
  <c r="D51" i="15"/>
  <c r="E51" i="15"/>
  <c r="C55" i="15"/>
  <c r="D55" i="15"/>
  <c r="E55" i="15"/>
  <c r="C57" i="15"/>
  <c r="D57" i="15"/>
  <c r="E57" i="15"/>
  <c r="C66" i="15"/>
  <c r="D66" i="15"/>
  <c r="E66" i="15"/>
  <c r="B4" i="13"/>
  <c r="N4" i="13" s="1"/>
  <c r="N18" i="13"/>
  <c r="N20" i="13"/>
  <c r="C46" i="16" s="1"/>
  <c r="D46" i="16" s="1"/>
  <c r="N21" i="13"/>
  <c r="C41" i="16"/>
  <c r="D41" i="16" s="1"/>
  <c r="E41" i="16" s="1"/>
  <c r="F41" i="16" s="1"/>
  <c r="N22" i="13"/>
  <c r="M91" i="13" s="1"/>
  <c r="N91" i="13" s="1"/>
  <c r="C33" i="16" s="1"/>
  <c r="D33" i="16" s="1"/>
  <c r="N23" i="13"/>
  <c r="N25" i="13"/>
  <c r="N27" i="13"/>
  <c r="N29" i="13"/>
  <c r="B10" i="15" s="1"/>
  <c r="N35" i="13"/>
  <c r="Q104" i="13" s="1"/>
  <c r="B36" i="13"/>
  <c r="C36" i="13"/>
  <c r="D36" i="13"/>
  <c r="E36" i="13"/>
  <c r="F36" i="13"/>
  <c r="G36" i="13"/>
  <c r="I105" i="13" s="1"/>
  <c r="I111" i="13" s="1"/>
  <c r="H36" i="13"/>
  <c r="I36" i="13"/>
  <c r="J36" i="13"/>
  <c r="K36" i="13"/>
  <c r="L36" i="13"/>
  <c r="M36" i="13"/>
  <c r="O36" i="13"/>
  <c r="P36" i="13"/>
  <c r="Q36" i="13"/>
  <c r="B38" i="13"/>
  <c r="C38" i="13"/>
  <c r="D38" i="13"/>
  <c r="E38" i="13"/>
  <c r="F38" i="13"/>
  <c r="G38" i="13"/>
  <c r="H38" i="13"/>
  <c r="I107" i="13" s="1"/>
  <c r="I110" i="13" s="1"/>
  <c r="I38" i="13"/>
  <c r="J38" i="13"/>
  <c r="K38" i="13"/>
  <c r="L38" i="13"/>
  <c r="M38" i="13"/>
  <c r="O38" i="13"/>
  <c r="P38" i="13"/>
  <c r="Q38" i="13"/>
  <c r="N39" i="13"/>
  <c r="N40" i="13"/>
  <c r="N41" i="13"/>
  <c r="N49" i="13"/>
  <c r="B20" i="15" s="1"/>
  <c r="N53" i="13"/>
  <c r="B23" i="15"/>
  <c r="N54" i="13"/>
  <c r="B24" i="15"/>
  <c r="N55" i="13"/>
  <c r="B25" i="15" s="1"/>
  <c r="B26" i="15" s="1"/>
  <c r="N60" i="13"/>
  <c r="B29" i="15"/>
  <c r="N61" i="13"/>
  <c r="B30" i="15"/>
  <c r="N62" i="13"/>
  <c r="B31" i="15"/>
  <c r="N63" i="13"/>
  <c r="B32" i="15" s="1"/>
  <c r="N64" i="13"/>
  <c r="B33" i="15"/>
  <c r="N65" i="13"/>
  <c r="B34" i="15"/>
  <c r="N66" i="13"/>
  <c r="B35" i="15"/>
  <c r="N68" i="13"/>
  <c r="B37" i="15" s="1"/>
  <c r="N69" i="13"/>
  <c r="B38" i="15"/>
  <c r="N70" i="13"/>
  <c r="B39" i="15"/>
  <c r="N71" i="13"/>
  <c r="B40" i="15"/>
  <c r="N73" i="13"/>
  <c r="B42" i="15" s="1"/>
  <c r="N74" i="13"/>
  <c r="B43" i="15"/>
  <c r="N75" i="13"/>
  <c r="B44" i="15"/>
  <c r="N77" i="13"/>
  <c r="B46" i="15"/>
  <c r="N78" i="13"/>
  <c r="B47" i="15" s="1"/>
  <c r="N79" i="13"/>
  <c r="B48" i="15"/>
  <c r="N80" i="13"/>
  <c r="B49" i="15"/>
  <c r="C83" i="13"/>
  <c r="D83" i="13"/>
  <c r="N83" i="13" s="1"/>
  <c r="B52" i="15" s="1"/>
  <c r="B54" i="15" s="1"/>
  <c r="E83" i="13"/>
  <c r="F83" i="13"/>
  <c r="G83" i="13"/>
  <c r="H83" i="13"/>
  <c r="I83" i="13"/>
  <c r="J83" i="13"/>
  <c r="K83" i="13"/>
  <c r="L83" i="13"/>
  <c r="M83" i="13"/>
  <c r="N85" i="13"/>
  <c r="B55" i="15" s="1"/>
  <c r="N87" i="13"/>
  <c r="B57" i="15"/>
  <c r="M90" i="13"/>
  <c r="N90" i="13" s="1"/>
  <c r="N92" i="13"/>
  <c r="B66" i="15"/>
  <c r="N94" i="13"/>
  <c r="C48" i="16" s="1"/>
  <c r="B96" i="13"/>
  <c r="N96" i="13" s="1"/>
  <c r="N98" i="13"/>
  <c r="N99" i="13"/>
  <c r="B104" i="13"/>
  <c r="B108" i="13" s="1"/>
  <c r="C104" i="13"/>
  <c r="C108" i="13"/>
  <c r="D104" i="13"/>
  <c r="D108" i="13" s="1"/>
  <c r="E104" i="13"/>
  <c r="E108" i="13" s="1"/>
  <c r="F104" i="13"/>
  <c r="F108" i="13" s="1"/>
  <c r="G104" i="13"/>
  <c r="G108" i="13" s="1"/>
  <c r="H104" i="13"/>
  <c r="H108" i="13" s="1"/>
  <c r="I104" i="13"/>
  <c r="I108" i="13" s="1"/>
  <c r="J104" i="13"/>
  <c r="J108" i="13" s="1"/>
  <c r="K104" i="13"/>
  <c r="K108" i="13" s="1"/>
  <c r="L104" i="13"/>
  <c r="L108" i="13" s="1"/>
  <c r="M104" i="13"/>
  <c r="B106" i="13"/>
  <c r="B109" i="13" s="1"/>
  <c r="D106" i="13"/>
  <c r="D109" i="13"/>
  <c r="E106" i="13"/>
  <c r="E109" i="13" s="1"/>
  <c r="F106" i="13"/>
  <c r="F109" i="13" s="1"/>
  <c r="G106" i="13"/>
  <c r="G109" i="13" s="1"/>
  <c r="H106" i="13"/>
  <c r="H109" i="13" s="1"/>
  <c r="I106" i="13"/>
  <c r="I109" i="13" s="1"/>
  <c r="J106" i="13"/>
  <c r="J109" i="13"/>
  <c r="K106" i="13"/>
  <c r="K109" i="13" s="1"/>
  <c r="L106" i="13"/>
  <c r="L109" i="13" s="1"/>
  <c r="M106" i="13"/>
  <c r="N106" i="13" s="1"/>
  <c r="C16" i="16" s="1"/>
  <c r="X1" i="17"/>
  <c r="Y1" i="17"/>
  <c r="Z1" i="17"/>
  <c r="AA1" i="17"/>
  <c r="AB1" i="17"/>
  <c r="AC1" i="17"/>
  <c r="AD1" i="17"/>
  <c r="AE1" i="17"/>
  <c r="AF1" i="17"/>
  <c r="AG1" i="17"/>
  <c r="AH1" i="17"/>
  <c r="AI1" i="17"/>
  <c r="AJ1" i="17"/>
  <c r="AK1" i="17"/>
  <c r="AL1" i="17"/>
  <c r="AM1" i="17"/>
  <c r="F2" i="17"/>
  <c r="G2" i="17"/>
  <c r="R2" i="17" s="1"/>
  <c r="H2" i="17"/>
  <c r="D10" i="13" s="1"/>
  <c r="I2" i="17"/>
  <c r="E10" i="13" s="1"/>
  <c r="J2" i="17"/>
  <c r="F10" i="13" s="1"/>
  <c r="K2" i="17"/>
  <c r="G10" i="13" s="1"/>
  <c r="L2" i="17"/>
  <c r="M2" i="17"/>
  <c r="M4" i="17" s="1"/>
  <c r="I11" i="13" s="1"/>
  <c r="N2" i="17"/>
  <c r="J10" i="13" s="1"/>
  <c r="O2" i="17"/>
  <c r="P2" i="17"/>
  <c r="L10" i="13"/>
  <c r="Q2" i="17"/>
  <c r="S2" i="17"/>
  <c r="O10" i="13" s="1"/>
  <c r="C8" i="15" s="1"/>
  <c r="T2" i="17"/>
  <c r="P10" i="13" s="1"/>
  <c r="D8" i="15" s="1"/>
  <c r="U2" i="17"/>
  <c r="F5" i="17"/>
  <c r="G5" i="17"/>
  <c r="H5" i="17"/>
  <c r="I5" i="17"/>
  <c r="J5" i="17"/>
  <c r="K5" i="17"/>
  <c r="L5" i="17"/>
  <c r="M5" i="17"/>
  <c r="N5" i="17"/>
  <c r="O5" i="17"/>
  <c r="P5" i="17"/>
  <c r="Q5" i="17"/>
  <c r="Q8" i="17" s="1"/>
  <c r="M48" i="13" s="1"/>
  <c r="S5" i="17"/>
  <c r="C19" i="15" s="1"/>
  <c r="C21" i="15" s="1"/>
  <c r="T5" i="17"/>
  <c r="U5" i="17"/>
  <c r="F6" i="17"/>
  <c r="F7" i="17" s="1"/>
  <c r="G6" i="17"/>
  <c r="G7" i="17" s="1"/>
  <c r="H6" i="17"/>
  <c r="H7" i="17" s="1"/>
  <c r="I6" i="17"/>
  <c r="J6" i="17"/>
  <c r="J7" i="17" s="1"/>
  <c r="K6" i="17"/>
  <c r="K7" i="17" s="1"/>
  <c r="L6" i="17"/>
  <c r="L7" i="17"/>
  <c r="M6" i="17"/>
  <c r="M7" i="17" s="1"/>
  <c r="N6" i="17"/>
  <c r="N7" i="17" s="1"/>
  <c r="O6" i="17"/>
  <c r="O7" i="17" s="1"/>
  <c r="P6" i="17"/>
  <c r="Q6" i="17"/>
  <c r="S6" i="17"/>
  <c r="S7" i="17" s="1"/>
  <c r="T6" i="17"/>
  <c r="U6" i="17"/>
  <c r="U7" i="17" s="1"/>
  <c r="G16" i="17"/>
  <c r="H16" i="17"/>
  <c r="I16" i="17"/>
  <c r="J16" i="17"/>
  <c r="K16" i="17"/>
  <c r="L16" i="17"/>
  <c r="M16" i="17"/>
  <c r="N16" i="17"/>
  <c r="O16" i="17"/>
  <c r="P16" i="17"/>
  <c r="Q16" i="17"/>
  <c r="S16" i="17"/>
  <c r="T16" i="17"/>
  <c r="U16" i="17"/>
  <c r="R17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S21" i="17"/>
  <c r="T21" i="17"/>
  <c r="U21" i="17"/>
  <c r="R22" i="17"/>
  <c r="F26" i="17"/>
  <c r="G26" i="17"/>
  <c r="Y4" i="17" s="1"/>
  <c r="H26" i="17"/>
  <c r="I26" i="17"/>
  <c r="J26" i="17"/>
  <c r="AB4" i="17" s="1"/>
  <c r="K26" i="17"/>
  <c r="AC4" i="17"/>
  <c r="L26" i="17"/>
  <c r="M26" i="17"/>
  <c r="N26" i="17"/>
  <c r="AF4" i="17" s="1"/>
  <c r="O26" i="17"/>
  <c r="AG4" i="17"/>
  <c r="O9" i="17" s="1"/>
  <c r="P26" i="17"/>
  <c r="AH4" i="17" s="1"/>
  <c r="P9" i="17" s="1"/>
  <c r="Q26" i="17"/>
  <c r="S26" i="17"/>
  <c r="AK4" i="17" s="1"/>
  <c r="T26" i="17"/>
  <c r="AL4" i="17" s="1"/>
  <c r="U26" i="17"/>
  <c r="AM4" i="17" s="1"/>
  <c r="R27" i="17"/>
  <c r="F31" i="17"/>
  <c r="G31" i="17"/>
  <c r="H31" i="17"/>
  <c r="I31" i="17"/>
  <c r="J31" i="17"/>
  <c r="K31" i="17"/>
  <c r="L31" i="17"/>
  <c r="M31" i="17"/>
  <c r="M3" i="17" s="1"/>
  <c r="I7" i="13" s="1"/>
  <c r="N31" i="17"/>
  <c r="O31" i="17"/>
  <c r="P31" i="17"/>
  <c r="Q31" i="17"/>
  <c r="S31" i="17"/>
  <c r="T31" i="17"/>
  <c r="U31" i="17"/>
  <c r="R32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S36" i="17"/>
  <c r="T36" i="17"/>
  <c r="U36" i="17"/>
  <c r="U3" i="17" s="1"/>
  <c r="Q7" i="13" s="1"/>
  <c r="R37" i="17"/>
  <c r="E41" i="17"/>
  <c r="F41" i="17"/>
  <c r="G41" i="17"/>
  <c r="H41" i="17"/>
  <c r="I41" i="17"/>
  <c r="J41" i="17"/>
  <c r="K41" i="17"/>
  <c r="K10" i="17" s="1"/>
  <c r="G9" i="13" s="1"/>
  <c r="G8" i="13" s="1"/>
  <c r="L41" i="17"/>
  <c r="M41" i="17"/>
  <c r="N41" i="17"/>
  <c r="O41" i="17"/>
  <c r="P41" i="17"/>
  <c r="Q41" i="17"/>
  <c r="S41" i="17"/>
  <c r="T41" i="17"/>
  <c r="T10" i="17" s="1"/>
  <c r="P9" i="13" s="1"/>
  <c r="U41" i="17"/>
  <c r="R42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Q10" i="17" s="1"/>
  <c r="M9" i="13" s="1"/>
  <c r="M8" i="13" s="1"/>
  <c r="S46" i="17"/>
  <c r="T46" i="17"/>
  <c r="U46" i="17"/>
  <c r="R47" i="17"/>
  <c r="E51" i="17"/>
  <c r="F51" i="17"/>
  <c r="G51" i="17"/>
  <c r="H51" i="17"/>
  <c r="H10" i="17" s="1"/>
  <c r="D9" i="13" s="1"/>
  <c r="D8" i="13" s="1"/>
  <c r="I51" i="17"/>
  <c r="J51" i="17"/>
  <c r="K51" i="17"/>
  <c r="L51" i="17"/>
  <c r="M51" i="17"/>
  <c r="N51" i="17"/>
  <c r="O51" i="17"/>
  <c r="P51" i="17"/>
  <c r="Q51" i="17"/>
  <c r="S51" i="17"/>
  <c r="T51" i="17"/>
  <c r="U51" i="17"/>
  <c r="R52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S56" i="17"/>
  <c r="T56" i="17"/>
  <c r="U56" i="17"/>
  <c r="R57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S61" i="17"/>
  <c r="T61" i="17"/>
  <c r="U61" i="17"/>
  <c r="C114" i="13"/>
  <c r="Q112" i="13"/>
  <c r="Q114" i="13" s="1"/>
  <c r="E61" i="15" s="1"/>
  <c r="B113" i="13"/>
  <c r="B115" i="13" s="1"/>
  <c r="P4" i="17"/>
  <c r="L11" i="13"/>
  <c r="X4" i="17"/>
  <c r="Z4" i="17"/>
  <c r="H9" i="17" s="1"/>
  <c r="AI4" i="17"/>
  <c r="AE4" i="17"/>
  <c r="O112" i="13"/>
  <c r="Q10" i="13"/>
  <c r="E8" i="15" s="1"/>
  <c r="E105" i="13"/>
  <c r="E111" i="13"/>
  <c r="E52" i="15"/>
  <c r="E54" i="15" s="1"/>
  <c r="U4" i="17"/>
  <c r="Q11" i="13"/>
  <c r="T4" i="17"/>
  <c r="P11" i="13"/>
  <c r="I4" i="17"/>
  <c r="E11" i="13" s="1"/>
  <c r="H4" i="17"/>
  <c r="D11" i="13" s="1"/>
  <c r="L19" i="13"/>
  <c r="L102" i="13" s="1"/>
  <c r="J4" i="17"/>
  <c r="F11" i="13" s="1"/>
  <c r="M19" i="13"/>
  <c r="J19" i="13"/>
  <c r="J102" i="13" s="1"/>
  <c r="O19" i="13"/>
  <c r="O102" i="13" s="1"/>
  <c r="E19" i="13"/>
  <c r="E102" i="13" s="1"/>
  <c r="I19" i="13"/>
  <c r="I102" i="13" s="1"/>
  <c r="H19" i="13"/>
  <c r="H102" i="13" s="1"/>
  <c r="G19" i="13"/>
  <c r="G102" i="13" s="1"/>
  <c r="F107" i="13"/>
  <c r="F110" i="13"/>
  <c r="L105" i="13"/>
  <c r="L111" i="13" s="1"/>
  <c r="L4" i="17"/>
  <c r="H11" i="13" s="1"/>
  <c r="H10" i="13"/>
  <c r="G14" i="19"/>
  <c r="D107" i="13"/>
  <c r="D110" i="13" s="1"/>
  <c r="G107" i="13"/>
  <c r="G110" i="13" s="1"/>
  <c r="P104" i="13"/>
  <c r="E15" i="16" s="1"/>
  <c r="O104" i="13"/>
  <c r="O108" i="13" s="1"/>
  <c r="C59" i="15" s="1"/>
  <c r="B12" i="15"/>
  <c r="N103" i="13"/>
  <c r="N104" i="13"/>
  <c r="C15" i="16" s="1"/>
  <c r="M108" i="13"/>
  <c r="Q106" i="13"/>
  <c r="F16" i="16" s="1"/>
  <c r="T7" i="17"/>
  <c r="Q7" i="17"/>
  <c r="R7" i="17" s="1"/>
  <c r="K10" i="13"/>
  <c r="O4" i="17"/>
  <c r="K11" i="13" s="1"/>
  <c r="M10" i="13"/>
  <c r="Q4" i="17"/>
  <c r="M11" i="13"/>
  <c r="D113" i="13"/>
  <c r="D115" i="13" s="1"/>
  <c r="AA4" i="17"/>
  <c r="N112" i="13"/>
  <c r="C19" i="16"/>
  <c r="M114" i="13"/>
  <c r="P7" i="17"/>
  <c r="C105" i="13"/>
  <c r="C111" i="13" s="1"/>
  <c r="D105" i="13"/>
  <c r="D111" i="13" s="1"/>
  <c r="P108" i="13"/>
  <c r="D59" i="15" s="1"/>
  <c r="AL2" i="17"/>
  <c r="G17" i="19"/>
  <c r="F22" i="19"/>
  <c r="G22" i="19" s="1"/>
  <c r="G23" i="19" s="1"/>
  <c r="B51" i="15"/>
  <c r="O84" i="13"/>
  <c r="C53" i="15" s="1"/>
  <c r="O114" i="13"/>
  <c r="C61" i="15" s="1"/>
  <c r="D19" i="16"/>
  <c r="B10" i="13"/>
  <c r="B105" i="13"/>
  <c r="B111" i="13" s="1"/>
  <c r="F105" i="13"/>
  <c r="F111" i="13" s="1"/>
  <c r="G113" i="13"/>
  <c r="G115" i="13" s="1"/>
  <c r="K19" i="13"/>
  <c r="K102" i="13" s="1"/>
  <c r="W4" i="17"/>
  <c r="O106" i="13"/>
  <c r="D16" i="16" s="1"/>
  <c r="P106" i="13"/>
  <c r="E16" i="16" s="1"/>
  <c r="C107" i="13"/>
  <c r="C110" i="13" s="1"/>
  <c r="B107" i="13"/>
  <c r="B110" i="13" s="1"/>
  <c r="E107" i="13"/>
  <c r="E110" i="13"/>
  <c r="C113" i="13"/>
  <c r="C115" i="13" s="1"/>
  <c r="C54" i="15" l="1"/>
  <c r="O109" i="13"/>
  <c r="C60" i="15" s="1"/>
  <c r="C62" i="15" s="1"/>
  <c r="R26" i="17"/>
  <c r="E10" i="17"/>
  <c r="E3" i="17"/>
  <c r="E4" i="17" s="1"/>
  <c r="S4" i="17"/>
  <c r="O11" i="13" s="1"/>
  <c r="D64" i="15"/>
  <c r="F113" i="13"/>
  <c r="F115" i="13" s="1"/>
  <c r="M113" i="13"/>
  <c r="R56" i="17"/>
  <c r="G9" i="17"/>
  <c r="C16" i="13" s="1"/>
  <c r="M107" i="13"/>
  <c r="M110" i="13" s="1"/>
  <c r="N110" i="13" s="1"/>
  <c r="AJ8" i="17"/>
  <c r="K105" i="13"/>
  <c r="K111" i="13" s="1"/>
  <c r="N10" i="17"/>
  <c r="J9" i="13" s="1"/>
  <c r="J8" i="13" s="1"/>
  <c r="N9" i="17"/>
  <c r="L8" i="17"/>
  <c r="H48" i="13" s="1"/>
  <c r="E64" i="15"/>
  <c r="J107" i="13"/>
  <c r="J110" i="13" s="1"/>
  <c r="N36" i="13"/>
  <c r="F24" i="19"/>
  <c r="G24" i="19" s="1"/>
  <c r="N43" i="13"/>
  <c r="H107" i="13"/>
  <c r="H110" i="13" s="1"/>
  <c r="I10" i="13"/>
  <c r="M10" i="17"/>
  <c r="I9" i="13" s="1"/>
  <c r="I8" i="13" s="1"/>
  <c r="M109" i="13"/>
  <c r="N109" i="13" s="1"/>
  <c r="B60" i="15" s="1"/>
  <c r="D54" i="15"/>
  <c r="E26" i="15"/>
  <c r="N38" i="13"/>
  <c r="P107" i="13" s="1"/>
  <c r="P110" i="13" s="1"/>
  <c r="J105" i="13"/>
  <c r="J111" i="13" s="1"/>
  <c r="E113" i="13"/>
  <c r="E115" i="13" s="1"/>
  <c r="P3" i="17"/>
  <c r="L7" i="13" s="1"/>
  <c r="L6" i="13" s="1"/>
  <c r="R21" i="17"/>
  <c r="R16" i="17"/>
  <c r="AM2" i="17" s="1"/>
  <c r="D26" i="15"/>
  <c r="Q9" i="17"/>
  <c r="I9" i="17"/>
  <c r="AJ6" i="17"/>
  <c r="AJ7" i="17"/>
  <c r="L113" i="13"/>
  <c r="L115" i="13" s="1"/>
  <c r="H113" i="13"/>
  <c r="H115" i="13" s="1"/>
  <c r="M105" i="13"/>
  <c r="F19" i="16"/>
  <c r="K113" i="13"/>
  <c r="K115" i="13" s="1"/>
  <c r="C10" i="13"/>
  <c r="N10" i="13" s="1"/>
  <c r="B8" i="15" s="1"/>
  <c r="J113" i="13"/>
  <c r="J115" i="13" s="1"/>
  <c r="S10" i="17"/>
  <c r="O9" i="13" s="1"/>
  <c r="H3" i="17"/>
  <c r="D7" i="13" s="1"/>
  <c r="D6" i="13" s="1"/>
  <c r="P8" i="17"/>
  <c r="L48" i="13" s="1"/>
  <c r="N4" i="17"/>
  <c r="J11" i="13" s="1"/>
  <c r="AJ9" i="17"/>
  <c r="G105" i="13"/>
  <c r="G111" i="13" s="1"/>
  <c r="K107" i="13"/>
  <c r="K110" i="13" s="1"/>
  <c r="H105" i="13"/>
  <c r="H111" i="13" s="1"/>
  <c r="P109" i="13"/>
  <c r="D60" i="15" s="1"/>
  <c r="B64" i="15"/>
  <c r="B52" i="16"/>
  <c r="AJ5" i="17"/>
  <c r="S8" i="17"/>
  <c r="O48" i="13" s="1"/>
  <c r="M9" i="17"/>
  <c r="S9" i="17"/>
  <c r="K8" i="17"/>
  <c r="G48" i="13" s="1"/>
  <c r="T9" i="17"/>
  <c r="E9" i="17"/>
  <c r="J9" i="17"/>
  <c r="AJ2" i="17"/>
  <c r="M8" i="17"/>
  <c r="I48" i="13" s="1"/>
  <c r="N8" i="17"/>
  <c r="J48" i="13" s="1"/>
  <c r="H8" i="17"/>
  <c r="D48" i="13" s="1"/>
  <c r="D88" i="13" s="1"/>
  <c r="AJ3" i="17"/>
  <c r="F8" i="17"/>
  <c r="B48" i="13" s="1"/>
  <c r="B88" i="13" s="1"/>
  <c r="M93" i="13"/>
  <c r="M102" i="13"/>
  <c r="O93" i="13" s="1"/>
  <c r="F9" i="17"/>
  <c r="B16" i="13" s="1"/>
  <c r="I93" i="13"/>
  <c r="I95" i="13" s="1"/>
  <c r="F19" i="13"/>
  <c r="F102" i="13" s="1"/>
  <c r="G93" i="13" s="1"/>
  <c r="G8" i="17"/>
  <c r="C48" i="13" s="1"/>
  <c r="C88" i="13" s="1"/>
  <c r="D6" i="15"/>
  <c r="D7" i="15" s="1"/>
  <c r="P8" i="13"/>
  <c r="E33" i="16"/>
  <c r="N113" i="13"/>
  <c r="C23" i="16" s="1"/>
  <c r="M115" i="13"/>
  <c r="O8" i="13"/>
  <c r="C6" i="15"/>
  <c r="C7" i="15" s="1"/>
  <c r="I6" i="13"/>
  <c r="F10" i="17"/>
  <c r="F3" i="17"/>
  <c r="F4" i="17" s="1"/>
  <c r="B11" i="13" s="1"/>
  <c r="R41" i="17"/>
  <c r="G3" i="17"/>
  <c r="C7" i="13" s="1"/>
  <c r="G10" i="17"/>
  <c r="C9" i="13" s="1"/>
  <c r="C8" i="13" s="1"/>
  <c r="E5" i="15"/>
  <c r="L14" i="13"/>
  <c r="L30" i="13" s="1"/>
  <c r="U8" i="17"/>
  <c r="Q48" i="13" s="1"/>
  <c r="E19" i="15"/>
  <c r="E21" i="15" s="1"/>
  <c r="R5" i="17"/>
  <c r="B19" i="15" s="1"/>
  <c r="B21" i="15" s="1"/>
  <c r="Q108" i="13"/>
  <c r="E59" i="15" s="1"/>
  <c r="F15" i="16"/>
  <c r="E46" i="16"/>
  <c r="M95" i="13"/>
  <c r="L93" i="13"/>
  <c r="R51" i="17"/>
  <c r="R46" i="17"/>
  <c r="K93" i="13"/>
  <c r="J93" i="13"/>
  <c r="J95" i="13" s="1"/>
  <c r="R61" i="17"/>
  <c r="N108" i="13"/>
  <c r="Q109" i="13"/>
  <c r="E60" i="15" s="1"/>
  <c r="R36" i="17"/>
  <c r="I7" i="17"/>
  <c r="J8" i="17" s="1"/>
  <c r="F48" i="13" s="1"/>
  <c r="I8" i="17"/>
  <c r="E48" i="13" s="1"/>
  <c r="D19" i="15"/>
  <c r="D21" i="15" s="1"/>
  <c r="T8" i="17"/>
  <c r="P48" i="13" s="1"/>
  <c r="P114" i="13"/>
  <c r="D61" i="15" s="1"/>
  <c r="D62" i="15" s="1"/>
  <c r="J3" i="17"/>
  <c r="F7" i="13" s="1"/>
  <c r="R31" i="17"/>
  <c r="J10" i="17"/>
  <c r="F9" i="13" s="1"/>
  <c r="F8" i="13" s="1"/>
  <c r="U9" i="17"/>
  <c r="Q16" i="13" s="1"/>
  <c r="Q17" i="13" s="1"/>
  <c r="Q19" i="13" s="1"/>
  <c r="Q102" i="13" s="1"/>
  <c r="I3" i="17"/>
  <c r="E7" i="13" s="1"/>
  <c r="D15" i="16"/>
  <c r="K9" i="17"/>
  <c r="P10" i="17"/>
  <c r="L9" i="13" s="1"/>
  <c r="L8" i="13" s="1"/>
  <c r="T3" i="17"/>
  <c r="P7" i="13" s="1"/>
  <c r="O10" i="17"/>
  <c r="K9" i="13" s="1"/>
  <c r="K8" i="13" s="1"/>
  <c r="O3" i="17"/>
  <c r="K7" i="13" s="1"/>
  <c r="K3" i="17"/>
  <c r="G7" i="13" s="1"/>
  <c r="N114" i="13"/>
  <c r="U10" i="17"/>
  <c r="Q9" i="13" s="1"/>
  <c r="AD4" i="17"/>
  <c r="L9" i="17" s="1"/>
  <c r="L3" i="17"/>
  <c r="H7" i="13" s="1"/>
  <c r="L10" i="17"/>
  <c r="H9" i="13" s="1"/>
  <c r="H8" i="13" s="1"/>
  <c r="Q3" i="17"/>
  <c r="M7" i="13" s="1"/>
  <c r="I10" i="17"/>
  <c r="E9" i="13" s="1"/>
  <c r="E8" i="13" s="1"/>
  <c r="S3" i="17"/>
  <c r="O7" i="13" s="1"/>
  <c r="C5" i="15" s="1"/>
  <c r="N3" i="17"/>
  <c r="J7" i="13" s="1"/>
  <c r="O8" i="17"/>
  <c r="K48" i="13" s="1"/>
  <c r="K4" i="17"/>
  <c r="G11" i="13" s="1"/>
  <c r="Q105" i="13" l="1"/>
  <c r="P105" i="13"/>
  <c r="O105" i="13"/>
  <c r="E62" i="15"/>
  <c r="O107" i="13"/>
  <c r="O110" i="13" s="1"/>
  <c r="N107" i="13"/>
  <c r="C22" i="16" s="1"/>
  <c r="O95" i="13"/>
  <c r="Q107" i="13"/>
  <c r="Q110" i="13" s="1"/>
  <c r="N115" i="13"/>
  <c r="N16" i="13"/>
  <c r="M111" i="13"/>
  <c r="N111" i="13" s="1"/>
  <c r="C24" i="16" s="1"/>
  <c r="N105" i="13"/>
  <c r="C63" i="15"/>
  <c r="L95" i="13"/>
  <c r="O113" i="13"/>
  <c r="P113" i="13"/>
  <c r="Q113" i="13"/>
  <c r="G95" i="13"/>
  <c r="N88" i="13"/>
  <c r="R9" i="17"/>
  <c r="P16" i="13" s="1"/>
  <c r="P17" i="13" s="1"/>
  <c r="P19" i="13" s="1"/>
  <c r="P102" i="13" s="1"/>
  <c r="Q93" i="13" s="1"/>
  <c r="Q95" i="13" s="1"/>
  <c r="H93" i="13"/>
  <c r="H95" i="13" s="1"/>
  <c r="K95" i="13"/>
  <c r="G4" i="17"/>
  <c r="C11" i="13" s="1"/>
  <c r="J14" i="13"/>
  <c r="J30" i="13" s="1"/>
  <c r="J6" i="13"/>
  <c r="B59" i="15"/>
  <c r="C17" i="16"/>
  <c r="B9" i="13"/>
  <c r="R10" i="17"/>
  <c r="F33" i="16"/>
  <c r="E6" i="13"/>
  <c r="E14" i="13"/>
  <c r="E30" i="13" s="1"/>
  <c r="F6" i="13"/>
  <c r="F14" i="13"/>
  <c r="F30" i="13" s="1"/>
  <c r="AJ4" i="17"/>
  <c r="R8" i="17"/>
  <c r="E63" i="15"/>
  <c r="E13" i="15"/>
  <c r="E11" i="15"/>
  <c r="E9" i="15"/>
  <c r="C11" i="15"/>
  <c r="C9" i="15"/>
  <c r="C13" i="15"/>
  <c r="H6" i="13"/>
  <c r="H14" i="13"/>
  <c r="H30" i="13" s="1"/>
  <c r="C20" i="16"/>
  <c r="D20" i="16" s="1"/>
  <c r="E20" i="16" s="1"/>
  <c r="F20" i="16" s="1"/>
  <c r="B61" i="15"/>
  <c r="B63" i="15" s="1"/>
  <c r="P14" i="13"/>
  <c r="D5" i="15"/>
  <c r="D14" i="13"/>
  <c r="C6" i="13"/>
  <c r="I14" i="13"/>
  <c r="I30" i="13" s="1"/>
  <c r="G14" i="13"/>
  <c r="G30" i="13" s="1"/>
  <c r="G6" i="13"/>
  <c r="M6" i="13"/>
  <c r="M14" i="13"/>
  <c r="M30" i="13" s="1"/>
  <c r="O14" i="13"/>
  <c r="O30" i="13" s="1"/>
  <c r="Q8" i="13"/>
  <c r="E6" i="15"/>
  <c r="E7" i="15" s="1"/>
  <c r="K6" i="13"/>
  <c r="K14" i="13"/>
  <c r="K30" i="13" s="1"/>
  <c r="D63" i="15"/>
  <c r="F46" i="16"/>
  <c r="B95" i="13"/>
  <c r="N48" i="13"/>
  <c r="Q14" i="13"/>
  <c r="Q30" i="13" s="1"/>
  <c r="R3" i="17"/>
  <c r="R4" i="17" s="1"/>
  <c r="B7" i="13"/>
  <c r="C14" i="13" s="1"/>
  <c r="C15" i="13" s="1"/>
  <c r="C17" i="13" s="1"/>
  <c r="C19" i="13" s="1"/>
  <c r="D23" i="16" l="1"/>
  <c r="O115" i="13"/>
  <c r="O111" i="13"/>
  <c r="D24" i="16" s="1"/>
  <c r="E24" i="16" s="1"/>
  <c r="D22" i="16"/>
  <c r="D43" i="16" s="1"/>
  <c r="D44" i="16" s="1"/>
  <c r="P111" i="13"/>
  <c r="E22" i="16"/>
  <c r="F23" i="16"/>
  <c r="Q115" i="13"/>
  <c r="Q111" i="13"/>
  <c r="F22" i="16"/>
  <c r="P115" i="13"/>
  <c r="E23" i="16"/>
  <c r="P93" i="13"/>
  <c r="P95" i="13" s="1"/>
  <c r="D15" i="13"/>
  <c r="D17" i="13" s="1"/>
  <c r="D19" i="13" s="1"/>
  <c r="D102" i="13" s="1"/>
  <c r="F93" i="13" s="1"/>
  <c r="F95" i="13" s="1"/>
  <c r="P30" i="13"/>
  <c r="C102" i="13"/>
  <c r="C30" i="13"/>
  <c r="N9" i="13"/>
  <c r="B8" i="13"/>
  <c r="D17" i="16"/>
  <c r="C25" i="16"/>
  <c r="C68" i="15"/>
  <c r="D49" i="16" s="1"/>
  <c r="E47" i="16" s="1"/>
  <c r="C71" i="15"/>
  <c r="B6" i="13"/>
  <c r="N6" i="13" s="1"/>
  <c r="B14" i="13"/>
  <c r="N7" i="13"/>
  <c r="C10" i="16"/>
  <c r="D10" i="16" s="1"/>
  <c r="E10" i="16" s="1"/>
  <c r="F10" i="16" s="1"/>
  <c r="E71" i="15"/>
  <c r="E68" i="15"/>
  <c r="F49" i="16" s="1"/>
  <c r="B62" i="15"/>
  <c r="D11" i="15"/>
  <c r="D15" i="15" s="1"/>
  <c r="D13" i="15"/>
  <c r="D9" i="15"/>
  <c r="C43" i="16"/>
  <c r="C44" i="16" s="1"/>
  <c r="E43" i="16" l="1"/>
  <c r="E44" i="16" s="1"/>
  <c r="F24" i="16"/>
  <c r="F43" i="16" s="1"/>
  <c r="F44" i="16" s="1"/>
  <c r="D30" i="13"/>
  <c r="B15" i="13"/>
  <c r="B17" i="13" s="1"/>
  <c r="E93" i="13"/>
  <c r="E95" i="13" s="1"/>
  <c r="E17" i="16"/>
  <c r="D25" i="16"/>
  <c r="D68" i="15"/>
  <c r="E49" i="16" s="1"/>
  <c r="F47" i="16" s="1"/>
  <c r="D71" i="15"/>
  <c r="E15" i="15"/>
  <c r="N11" i="13"/>
  <c r="B5" i="15"/>
  <c r="N8" i="13"/>
  <c r="B6" i="15"/>
  <c r="B7" i="15" s="1"/>
  <c r="N14" i="13"/>
  <c r="N15" i="13" l="1"/>
  <c r="B19" i="13"/>
  <c r="N17" i="13"/>
  <c r="B13" i="15"/>
  <c r="C7" i="16"/>
  <c r="D7" i="16" s="1"/>
  <c r="E7" i="16" s="1"/>
  <c r="F7" i="16" s="1"/>
  <c r="B11" i="15"/>
  <c r="C15" i="15" s="1"/>
  <c r="B9" i="15"/>
  <c r="F17" i="16"/>
  <c r="F25" i="16" s="1"/>
  <c r="E25" i="16"/>
  <c r="B102" i="13" l="1"/>
  <c r="N19" i="13"/>
  <c r="B30" i="13"/>
  <c r="B97" i="13" s="1"/>
  <c r="C4" i="13" s="1"/>
  <c r="B68" i="15"/>
  <c r="C49" i="16" s="1"/>
  <c r="N30" i="13" l="1"/>
  <c r="C93" i="13"/>
  <c r="D93" i="13"/>
  <c r="D95" i="13" s="1"/>
  <c r="B71" i="15"/>
  <c r="D47" i="16"/>
  <c r="D48" i="16" s="1"/>
  <c r="E48" i="16" s="1"/>
  <c r="C50" i="16"/>
  <c r="C95" i="13" l="1"/>
  <c r="C97" i="13" s="1"/>
  <c r="D4" i="13" s="1"/>
  <c r="D97" i="13" s="1"/>
  <c r="E4" i="13" s="1"/>
  <c r="E97" i="13" s="1"/>
  <c r="F4" i="13" s="1"/>
  <c r="F97" i="13" s="1"/>
  <c r="G4" i="13" s="1"/>
  <c r="G97" i="13" s="1"/>
  <c r="H4" i="13" s="1"/>
  <c r="H97" i="13" s="1"/>
  <c r="I4" i="13" s="1"/>
  <c r="I97" i="13" s="1"/>
  <c r="J4" i="13" s="1"/>
  <c r="J97" i="13" s="1"/>
  <c r="K4" i="13" s="1"/>
  <c r="K97" i="13" s="1"/>
  <c r="L4" i="13" s="1"/>
  <c r="L97" i="13" s="1"/>
  <c r="M4" i="13" s="1"/>
  <c r="M97" i="13" s="1"/>
  <c r="N93" i="13"/>
  <c r="F48" i="16"/>
  <c r="F50" i="16" s="1"/>
  <c r="E50" i="16"/>
  <c r="D50" i="16"/>
  <c r="N95" i="13" l="1"/>
  <c r="N97" i="13" s="1"/>
  <c r="C38" i="16"/>
  <c r="D38" i="16" l="1"/>
  <c r="C39" i="16"/>
  <c r="C52" i="16" s="1"/>
  <c r="O4" i="13"/>
  <c r="O97" i="13" s="1"/>
  <c r="C6" i="16"/>
  <c r="C12" i="16" s="1"/>
  <c r="C27" i="16" s="1"/>
  <c r="D6" i="16" l="1"/>
  <c r="D12" i="16" s="1"/>
  <c r="D27" i="16" s="1"/>
  <c r="P4" i="13"/>
  <c r="P97" i="13" s="1"/>
  <c r="E38" i="16"/>
  <c r="D39" i="16"/>
  <c r="D52" i="16" s="1"/>
  <c r="E39" i="16" l="1"/>
  <c r="E52" i="16" s="1"/>
  <c r="F38" i="16"/>
  <c r="F39" i="16" s="1"/>
  <c r="F52" i="16" s="1"/>
  <c r="Q4" i="13"/>
  <c r="Q97" i="13" s="1"/>
  <c r="F6" i="16" s="1"/>
  <c r="F12" i="16" s="1"/>
  <c r="F27" i="16" s="1"/>
  <c r="E6" i="16"/>
  <c r="E12" i="16" s="1"/>
  <c r="E27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Margit Karu</author>
  </authors>
  <commentList>
    <comment ref="E4" authorId="0" shapeId="0" xr:uid="{00000000-0006-0000-0000-000001000000}">
      <text>
        <r>
          <rPr>
            <b/>
            <sz val="12"/>
            <color indexed="10"/>
            <rFont val="Tahoma"/>
            <family val="2"/>
            <charset val="186"/>
          </rPr>
          <t>Заполните необходимые зеленые поля!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MargitK</author>
  </authors>
  <commentList>
    <comment ref="R90" authorId="0" shapeId="0" xr:uid="{00000000-0006-0000-0200-000001000000}">
      <text>
        <r>
          <rPr>
            <sz val="8"/>
            <color indexed="81"/>
            <rFont val="Tahoma"/>
            <family val="2"/>
            <charset val="186"/>
          </rPr>
          <t xml:space="preserve">Siia lahtrisse kirjutada 5. tegevusaastal tagasimaksmisele kuuluva pikaajalise laenu lühiajaline osa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Margit Karu</author>
  </authors>
  <commentList>
    <comment ref="B2" authorId="0" shapeId="0" xr:uid="{00000000-0006-0000-0400-000001000000}">
      <text>
        <r>
          <rPr>
            <sz val="8"/>
            <color indexed="10"/>
            <rFont val="Tahoma"/>
            <family val="2"/>
            <charset val="186"/>
          </rPr>
          <t>введите дату, на которую даны данные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 V</author>
  </authors>
  <commentList>
    <comment ref="F23" authorId="0" shapeId="0" xr:uid="{00000000-0006-0000-0600-000001000000}">
      <text>
        <r>
          <rPr>
            <sz val="10"/>
            <color indexed="8"/>
            <rFont val="Times New Roman"/>
            <family val="1"/>
            <charset val="186"/>
          </rPr>
          <t xml:space="preserve">Введите сумму гранта, макс.стартовый грант 15000 евро
</t>
        </r>
      </text>
    </comment>
    <comment ref="F24" authorId="0" shapeId="0" xr:uid="{00000000-0006-0000-0600-000002000000}">
      <text>
        <r>
          <rPr>
            <sz val="10"/>
            <color indexed="8"/>
            <rFont val="Times New Roman"/>
            <family val="1"/>
            <charset val="186"/>
          </rPr>
          <t>заполняется автоматически</t>
        </r>
        <r>
          <rPr>
            <sz val="10"/>
            <rFont val="Arial"/>
            <family val="2"/>
            <charset val="186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 V</author>
  </authors>
  <commentList>
    <comment ref="F23" authorId="0" shapeId="0" xr:uid="{00000000-0006-0000-0700-000001000000}">
      <text>
        <r>
          <rPr>
            <sz val="10"/>
            <color indexed="8"/>
            <rFont val="Times New Roman"/>
            <family val="1"/>
            <charset val="186"/>
          </rPr>
          <t xml:space="preserve">Mark the grant sum, max  start-up grant is 15,000 EUR
</t>
        </r>
      </text>
    </comment>
    <comment ref="F24" authorId="0" shapeId="0" xr:uid="{00000000-0006-0000-0700-000002000000}">
      <text>
        <r>
          <rPr>
            <sz val="10"/>
            <color indexed="8"/>
            <rFont val="Times New Roman"/>
            <family val="1"/>
            <charset val="186"/>
          </rPr>
          <t>Generated automatically</t>
        </r>
        <r>
          <rPr>
            <sz val="10"/>
            <rFont val="Arial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<sst xmlns="http://schemas.openxmlformats.org/spreadsheetml/2006/main" count="446" uniqueCount="367">
  <si>
    <r>
      <rPr>
        <sz val="11"/>
        <rFont val="Times New Roman"/>
        <family val="1"/>
        <charset val="186"/>
      </rPr>
      <t>NO.</t>
    </r>
  </si>
  <si>
    <r>
      <rPr>
        <sz val="11"/>
        <rFont val="Times New Roman"/>
        <family val="1"/>
        <charset val="186"/>
      </rPr>
      <t>Description of activities for different cost types</t>
    </r>
  </si>
  <si>
    <r>
      <rPr>
        <sz val="11"/>
        <rFont val="Times New Roman"/>
        <family val="1"/>
        <charset val="186"/>
      </rPr>
      <t>Name</t>
    </r>
  </si>
  <si>
    <r>
      <rPr>
        <sz val="11"/>
        <rFont val="Times New Roman"/>
        <family val="1"/>
        <charset val="186"/>
      </rPr>
      <t>Name of bidder</t>
    </r>
  </si>
  <si>
    <r>
      <rPr>
        <sz val="11"/>
        <rFont val="Times New Roman"/>
        <family val="1"/>
        <charset val="186"/>
      </rPr>
      <t>Unit</t>
    </r>
  </si>
  <si>
    <r>
      <rPr>
        <sz val="11"/>
        <rFont val="Times New Roman"/>
        <family val="1"/>
        <charset val="186"/>
      </rPr>
      <t>Cost of unit</t>
    </r>
  </si>
  <si>
    <r>
      <rPr>
        <sz val="11"/>
        <color indexed="8"/>
        <rFont val="Times New Roman"/>
        <family val="1"/>
        <charset val="186"/>
      </rPr>
      <t>Cost</t>
    </r>
  </si>
  <si>
    <r>
      <rPr>
        <b/>
        <sz val="11"/>
        <rFont val="Times New Roman"/>
        <family val="1"/>
        <charset val="186"/>
      </rPr>
      <t>1.</t>
    </r>
  </si>
  <si>
    <r>
      <rPr>
        <b/>
        <sz val="11"/>
        <rFont val="Times New Roman"/>
        <family val="1"/>
        <charset val="186"/>
      </rPr>
      <t>Acquisition costs of machines, equipment or other material fixed assets</t>
    </r>
  </si>
  <si>
    <r>
      <rPr>
        <sz val="11"/>
        <rFont val="Times New Roman"/>
        <family val="1"/>
        <charset val="186"/>
      </rPr>
      <t>1.1.</t>
    </r>
  </si>
  <si>
    <r>
      <rPr>
        <sz val="11"/>
        <rFont val="Times New Roman"/>
        <family val="1"/>
        <charset val="186"/>
      </rPr>
      <t>Acquisition costs of new material fixed assets</t>
    </r>
  </si>
  <si>
    <r>
      <rPr>
        <sz val="11"/>
        <rFont val="Times New Roman"/>
        <family val="1"/>
        <charset val="186"/>
      </rPr>
      <t>1.2.</t>
    </r>
  </si>
  <si>
    <r>
      <rPr>
        <sz val="11"/>
        <rFont val="Times New Roman"/>
        <family val="1"/>
        <charset val="186"/>
      </rPr>
      <t>1.3.</t>
    </r>
  </si>
  <si>
    <r>
      <rPr>
        <sz val="11"/>
        <rFont val="Times New Roman"/>
        <family val="1"/>
        <charset val="186"/>
      </rPr>
      <t>Cost of finance lease of new material fixed assets</t>
    </r>
  </si>
  <si>
    <r>
      <rPr>
        <sz val="11"/>
        <rFont val="Times New Roman"/>
        <family val="1"/>
        <charset val="186"/>
      </rPr>
      <t>1.4.</t>
    </r>
  </si>
  <si>
    <r>
      <rPr>
        <sz val="11"/>
        <rFont val="Times New Roman"/>
        <family val="1"/>
        <charset val="186"/>
      </rPr>
      <t>Cost of finance lease of used material fixed assets</t>
    </r>
  </si>
  <si>
    <r>
      <rPr>
        <b/>
        <sz val="11"/>
        <rFont val="Times New Roman"/>
        <family val="1"/>
        <charset val="186"/>
      </rPr>
      <t>2.</t>
    </r>
  </si>
  <si>
    <r>
      <rPr>
        <b/>
        <sz val="11"/>
        <rFont val="Times New Roman"/>
        <family val="1"/>
        <charset val="186"/>
      </rPr>
      <t>Transport and adjustment costs related to the acquisition of material fixed assets</t>
    </r>
  </si>
  <si>
    <r>
      <rPr>
        <sz val="11"/>
        <rFont val="Times New Roman"/>
        <family val="1"/>
        <charset val="186"/>
      </rPr>
      <t>2.1.</t>
    </r>
  </si>
  <si>
    <r>
      <rPr>
        <sz val="11"/>
        <rFont val="Times New Roman"/>
        <family val="1"/>
        <charset val="186"/>
      </rPr>
      <t>Transport costs</t>
    </r>
  </si>
  <si>
    <r>
      <rPr>
        <sz val="11"/>
        <rFont val="Times New Roman"/>
        <family val="1"/>
        <charset val="186"/>
      </rPr>
      <t>2.2.</t>
    </r>
  </si>
  <si>
    <r>
      <rPr>
        <sz val="11"/>
        <rFont val="Times New Roman"/>
        <family val="1"/>
        <charset val="186"/>
      </rPr>
      <t>Adjustment costs</t>
    </r>
  </si>
  <si>
    <r>
      <rPr>
        <sz val="11"/>
        <rFont val="Times New Roman"/>
        <family val="1"/>
        <charset val="186"/>
      </rPr>
      <t>Installing costs</t>
    </r>
  </si>
  <si>
    <r>
      <rPr>
        <b/>
        <sz val="11"/>
        <rFont val="Times New Roman"/>
        <family val="1"/>
        <charset val="186"/>
      </rPr>
      <t>Cost of marketing activities that are necessary for reaching project goals</t>
    </r>
  </si>
  <si>
    <r>
      <rPr>
        <sz val="11"/>
        <rFont val="Times New Roman"/>
        <family val="1"/>
        <charset val="186"/>
      </rPr>
      <t>3.1.</t>
    </r>
  </si>
  <si>
    <r>
      <rPr>
        <b/>
        <sz val="11"/>
        <rFont val="Times New Roman"/>
        <family val="1"/>
        <charset val="186"/>
      </rPr>
      <t>Acquisition and development costs of application software</t>
    </r>
  </si>
  <si>
    <r>
      <rPr>
        <sz val="11"/>
        <rFont val="Times New Roman"/>
        <family val="1"/>
        <charset val="186"/>
      </rPr>
      <t>4.1.</t>
    </r>
  </si>
  <si>
    <r>
      <rPr>
        <sz val="11"/>
        <rFont val="Times New Roman"/>
        <family val="1"/>
        <charset val="186"/>
      </rPr>
      <t>Acquisition costs of application software</t>
    </r>
  </si>
  <si>
    <r>
      <rPr>
        <sz val="11"/>
        <rFont val="Times New Roman"/>
        <family val="1"/>
        <charset val="186"/>
      </rPr>
      <t>Development costs of application software (programming, implementing, testing)</t>
    </r>
  </si>
  <si>
    <r>
      <rPr>
        <b/>
        <sz val="11"/>
        <rFont val="Times New Roman"/>
        <family val="1"/>
        <charset val="186"/>
      </rPr>
      <t>5.</t>
    </r>
  </si>
  <si>
    <r>
      <rPr>
        <sz val="11"/>
        <rFont val="Times New Roman"/>
        <family val="1"/>
        <charset val="186"/>
      </rPr>
      <t>5.1.</t>
    </r>
  </si>
  <si>
    <r>
      <rPr>
        <b/>
        <sz val="11"/>
        <color indexed="8"/>
        <rFont val="Times New Roman"/>
        <family val="1"/>
        <charset val="186"/>
      </rPr>
      <t>Total cost of project:</t>
    </r>
  </si>
  <si>
    <r>
      <rPr>
        <b/>
        <sz val="11"/>
        <rFont val="Times New Roman"/>
        <family val="1"/>
        <charset val="186"/>
      </rPr>
      <t>Grant sum applied</t>
    </r>
  </si>
  <si>
    <r>
      <rPr>
        <b/>
        <sz val="11"/>
        <rFont val="Times New Roman"/>
        <family val="1"/>
        <charset val="186"/>
      </rPr>
      <t>Sum of own contribution</t>
    </r>
  </si>
  <si>
    <r>
      <rPr>
        <b/>
        <sz val="10"/>
        <rFont val="Arial"/>
        <family val="2"/>
        <charset val="186"/>
      </rPr>
      <t>EUR</t>
    </r>
  </si>
  <si>
    <r>
      <rPr>
        <b/>
        <sz val="10"/>
        <rFont val="Arial"/>
        <family val="2"/>
        <charset val="186"/>
      </rPr>
      <t>threshold</t>
    </r>
  </si>
  <si>
    <r>
      <rPr>
        <b/>
        <sz val="10"/>
        <rFont val="Arial"/>
        <family val="2"/>
        <charset val="186"/>
      </rPr>
      <t>max. grant sum</t>
    </r>
  </si>
  <si>
    <r>
      <rPr>
        <b/>
        <sz val="12"/>
        <rFont val="Times New Roman"/>
        <family val="1"/>
        <charset val="186"/>
      </rPr>
      <t>GRANT BUDGET SAMPLE</t>
    </r>
  </si>
  <si>
    <r>
      <rPr>
        <b/>
        <sz val="10"/>
        <rFont val="Arial"/>
        <family val="2"/>
        <charset val="186"/>
      </rPr>
      <t>Start-up support</t>
    </r>
  </si>
  <si>
    <r>
      <rPr>
        <sz val="11"/>
        <rFont val="Times New Roman"/>
        <family val="1"/>
        <charset val="186"/>
      </rPr>
      <t>marketing activities</t>
    </r>
  </si>
  <si>
    <t xml:space="preserve">start-up project budget </t>
  </si>
  <si>
    <t>EUR</t>
  </si>
  <si>
    <t>grant sum applied</t>
  </si>
  <si>
    <t xml:space="preserve">own contribution </t>
  </si>
  <si>
    <t xml:space="preserve">1. </t>
  </si>
  <si>
    <r>
      <rPr>
        <b/>
        <sz val="10"/>
        <rFont val="Arial"/>
        <family val="2"/>
        <charset val="186"/>
      </rPr>
      <t>Examples:</t>
    </r>
    <r>
      <rPr>
        <sz val="10"/>
        <rFont val="Arial"/>
        <family val="2"/>
        <charset val="186"/>
      </rPr>
      <t xml:space="preserve"> </t>
    </r>
  </si>
  <si>
    <r>
      <rPr>
        <sz val="12"/>
        <color indexed="10"/>
        <rFont val="Times New Roman"/>
        <family val="1"/>
        <charset val="186"/>
      </rPr>
      <t>COMPILING IS VOLUNTARY</t>
    </r>
  </si>
  <si>
    <r>
      <rPr>
        <b/>
        <sz val="12"/>
        <rFont val="Times New Roman"/>
        <family val="1"/>
        <charset val="186"/>
      </rPr>
      <t>START-UP GRANT APPLICATION</t>
    </r>
    <r>
      <rPr>
        <sz val="12"/>
        <rFont val="Times New Roman"/>
        <family val="1"/>
        <charset val="186"/>
      </rPr>
      <t xml:space="preserve">  </t>
    </r>
  </si>
  <si>
    <r>
      <rPr>
        <sz val="11"/>
        <rFont val="Times New Roman"/>
        <family val="1"/>
        <charset val="186"/>
      </rPr>
      <t>3.2.</t>
    </r>
  </si>
  <si>
    <r>
      <rPr>
        <b/>
        <sz val="11"/>
        <rFont val="Times New Roman"/>
        <family val="1"/>
        <charset val="186"/>
      </rPr>
      <t>4.</t>
    </r>
  </si>
  <si>
    <r>
      <rPr>
        <b/>
        <sz val="11"/>
        <rFont val="Times New Roman"/>
        <family val="1"/>
        <charset val="186"/>
      </rPr>
      <t>Labour costs that are necessary for the launch and operation of the company</t>
    </r>
  </si>
  <si>
    <r>
      <rPr>
        <sz val="11"/>
        <rFont val="Times New Roman"/>
        <family val="1"/>
        <charset val="186"/>
      </rPr>
      <t>Personal costs</t>
    </r>
  </si>
  <si>
    <r>
      <rPr>
        <sz val="11"/>
        <rFont val="Times New Roman"/>
        <family val="1"/>
        <charset val="186"/>
      </rPr>
      <t>Acquisition costs of used material fixed assets</t>
    </r>
  </si>
  <si>
    <r>
      <rPr>
        <sz val="11"/>
        <rFont val="Times New Roman"/>
        <family val="1"/>
        <charset val="186"/>
      </rPr>
      <t>2.2.</t>
    </r>
  </si>
  <si>
    <t>** Sums have to be presented w/o VAT if the recipient of the grant is a taxable person for VAT</t>
  </si>
  <si>
    <r>
      <t xml:space="preserve">Будет ли предприятие плательщиком налога с оборота/зарегистрировано ли в этом качестве </t>
    </r>
    <r>
      <rPr>
        <sz val="10"/>
        <color indexed="10"/>
        <rFont val="Arial"/>
        <family val="2"/>
        <charset val="186"/>
      </rPr>
      <t>(да/нет)</t>
    </r>
  </si>
  <si>
    <t>Доля продаж в кредит от оборота (какая часть счетов за продажу будет оплачена в следующем месяце) %</t>
  </si>
  <si>
    <t>Норма амортизации зданий %</t>
  </si>
  <si>
    <t>Норма амортизации оборудования %</t>
  </si>
  <si>
    <r>
      <rPr>
        <sz val="10"/>
        <rFont val="Arial"/>
        <family val="2"/>
        <charset val="186"/>
      </rPr>
      <t>Норма амортизации основных нематериальных активов %</t>
    </r>
  </si>
  <si>
    <t>I год</t>
  </si>
  <si>
    <t>II год</t>
  </si>
  <si>
    <t>III год</t>
  </si>
  <si>
    <t>IV год</t>
  </si>
  <si>
    <t>да</t>
  </si>
  <si>
    <r>
      <rPr>
        <b/>
        <i/>
        <sz val="12"/>
        <color indexed="10"/>
        <rFont val="Arial"/>
        <family val="2"/>
        <charset val="186"/>
      </rPr>
      <t>Инструкция по заполнению финансовых прогнозов</t>
    </r>
  </si>
  <si>
    <r>
      <rPr>
        <sz val="10"/>
        <rFont val="Arial"/>
        <family val="2"/>
        <charset val="186"/>
      </rPr>
      <t>5. Графы, заполненные</t>
    </r>
    <r>
      <rPr>
        <b/>
        <i/>
        <sz val="10"/>
        <color indexed="12"/>
        <rFont val="Arial"/>
        <family val="2"/>
        <charset val="186"/>
      </rPr>
      <t>синим</t>
    </r>
    <r>
      <rPr>
        <sz val="10"/>
        <rFont val="Arial"/>
        <family val="2"/>
        <charset val="186"/>
      </rPr>
      <t>, генерируются автоматически.</t>
    </r>
  </si>
  <si>
    <r>
      <t xml:space="preserve">6. </t>
    </r>
    <r>
      <rPr>
        <b/>
        <i/>
        <sz val="10"/>
        <rFont val="Arial"/>
        <family val="2"/>
        <charset val="186"/>
      </rPr>
      <t>«</t>
    </r>
    <r>
      <rPr>
        <b/>
        <i/>
        <sz val="10"/>
        <color indexed="12"/>
        <rFont val="Arial"/>
        <family val="2"/>
        <charset val="186"/>
      </rPr>
      <t>Отчет о прибыли</t>
    </r>
    <r>
      <rPr>
        <sz val="10"/>
        <rFont val="Arial"/>
        <family val="2"/>
        <charset val="186"/>
      </rPr>
      <t>» и «</t>
    </r>
    <r>
      <rPr>
        <b/>
        <i/>
        <sz val="10"/>
        <color indexed="12"/>
        <rFont val="Arial"/>
        <family val="2"/>
        <charset val="186"/>
      </rPr>
      <t>Баланс</t>
    </r>
    <r>
      <rPr>
        <sz val="10"/>
        <rFont val="Arial"/>
        <family val="2"/>
        <charset val="186"/>
      </rPr>
      <t>» генерируются на основании данных в разделах «</t>
    </r>
    <r>
      <rPr>
        <b/>
        <i/>
        <sz val="10"/>
        <color indexed="12"/>
        <rFont val="Arial"/>
        <family val="2"/>
        <charset val="186"/>
      </rPr>
      <t>Исходные данные</t>
    </r>
    <r>
      <rPr>
        <sz val="10"/>
        <rFont val="Arial"/>
        <family val="2"/>
        <charset val="186"/>
      </rPr>
      <t>» и «</t>
    </r>
    <r>
      <rPr>
        <b/>
        <i/>
        <sz val="10"/>
        <color indexed="12"/>
        <rFont val="Arial"/>
        <family val="2"/>
        <charset val="186"/>
      </rPr>
      <t>Кассовый денежный поток»</t>
    </r>
    <r>
      <rPr>
        <sz val="10"/>
        <rFont val="Arial"/>
        <family val="2"/>
        <charset val="186"/>
      </rPr>
      <t xml:space="preserve"> .</t>
    </r>
  </si>
  <si>
    <r>
      <rPr>
        <sz val="10"/>
        <rFont val="Arial"/>
        <family val="2"/>
        <charset val="186"/>
      </rPr>
      <t xml:space="preserve">7. На странице образца бюджета пособия Вы можете попробовать составить проект бюджета.  </t>
    </r>
    <r>
      <rPr>
        <sz val="10"/>
        <color indexed="10"/>
        <rFont val="Arial"/>
        <family val="2"/>
        <charset val="186"/>
      </rPr>
      <t>Бюджет заполняется по желанию.</t>
    </r>
  </si>
  <si>
    <r>
      <rPr>
        <sz val="8"/>
        <rFont val="Arial"/>
        <family val="2"/>
        <charset val="186"/>
      </rPr>
      <t>Пор.№</t>
    </r>
  </si>
  <si>
    <r>
      <rPr>
        <sz val="8"/>
        <rFont val="Arial"/>
        <family val="2"/>
        <charset val="186"/>
      </rPr>
      <t xml:space="preserve">Данные о продукции/услуге - </t>
    </r>
    <r>
      <rPr>
        <b/>
        <sz val="8"/>
        <color indexed="10"/>
        <rFont val="Arial"/>
        <family val="2"/>
        <charset val="186"/>
      </rPr>
      <t xml:space="preserve">замените в графах, заполненных синим, данными о своей продукции/услугах и правильными ставками налога с оборота! </t>
    </r>
  </si>
  <si>
    <r>
      <rPr>
        <sz val="8"/>
        <color indexed="60"/>
        <rFont val="Arial"/>
        <family val="2"/>
        <charset val="186"/>
      </rPr>
      <t>Пример</t>
    </r>
  </si>
  <si>
    <r>
      <rPr>
        <sz val="8"/>
        <rFont val="Arial"/>
        <family val="2"/>
        <charset val="186"/>
      </rPr>
      <t>Произведено единиц всего, шт.</t>
    </r>
  </si>
  <si>
    <r>
      <rPr>
        <sz val="8"/>
        <rFont val="Arial"/>
        <family val="2"/>
        <charset val="186"/>
      </rPr>
      <t>Оборот всего, кр.</t>
    </r>
  </si>
  <si>
    <r>
      <rPr>
        <sz val="8"/>
        <rFont val="Arial"/>
        <family val="2"/>
        <charset val="186"/>
      </rPr>
      <t>Средняя цена продажи одной единицы, кр.</t>
    </r>
  </si>
  <si>
    <r>
      <rPr>
        <sz val="8"/>
        <rFont val="Arial"/>
        <family val="2"/>
        <charset val="186"/>
      </rPr>
      <t>Стоимость сырья для продукции всего, кр.</t>
    </r>
  </si>
  <si>
    <r>
      <rPr>
        <sz val="8"/>
        <rFont val="Arial"/>
        <family val="2"/>
        <charset val="186"/>
      </rPr>
      <t>Средняя потребность в складских запасах сырья, кр.</t>
    </r>
  </si>
  <si>
    <r>
      <rPr>
        <sz val="8"/>
        <rFont val="Arial"/>
        <family val="2"/>
        <charset val="186"/>
      </rPr>
      <t>Запасы сырья на складе к концу периода, кр.</t>
    </r>
  </si>
  <si>
    <r>
      <rPr>
        <sz val="8"/>
        <rFont val="Arial"/>
        <family val="2"/>
        <charset val="186"/>
      </rPr>
      <t>Расходы на сырье всего, кр.</t>
    </r>
  </si>
  <si>
    <r>
      <rPr>
        <sz val="8"/>
        <rFont val="Arial"/>
        <family val="2"/>
        <charset val="186"/>
      </rPr>
      <t>оборот, облагаемый НСО по ставке 9%</t>
    </r>
  </si>
  <si>
    <r>
      <rPr>
        <sz val="8"/>
        <rFont val="Arial"/>
        <family val="2"/>
        <charset val="186"/>
      </rPr>
      <t>Итого экспортный оборот</t>
    </r>
  </si>
  <si>
    <t>лестницы</t>
  </si>
  <si>
    <r>
      <rPr>
        <sz val="8"/>
        <rFont val="Arial"/>
        <family val="2"/>
        <charset val="186"/>
      </rPr>
      <t>производимое количество, всего</t>
    </r>
  </si>
  <si>
    <r>
      <rPr>
        <sz val="8"/>
        <rFont val="Arial"/>
        <family val="2"/>
        <charset val="186"/>
      </rPr>
      <t>в т.ч. на экспорт, в %</t>
    </r>
  </si>
  <si>
    <r>
      <rPr>
        <sz val="8"/>
        <rFont val="Arial"/>
        <family val="2"/>
        <charset val="186"/>
      </rPr>
      <t>средняя цена продажи единицы без НСО</t>
    </r>
  </si>
  <si>
    <r>
      <rPr>
        <sz val="8"/>
        <rFont val="Arial"/>
        <family val="2"/>
        <charset val="186"/>
      </rPr>
      <t>Ставка НСО, применяемая при обороте внутри государства</t>
    </r>
  </si>
  <si>
    <r>
      <rPr>
        <sz val="8"/>
        <rFont val="Arial"/>
        <family val="2"/>
        <charset val="186"/>
      </rPr>
      <t>средняя потребность в складских запасах материала/товара, %</t>
    </r>
  </si>
  <si>
    <r>
      <rPr>
        <sz val="8"/>
        <rFont val="Arial"/>
        <family val="2"/>
        <charset val="186"/>
      </rPr>
      <t>расход материала/товара на единицу</t>
    </r>
  </si>
  <si>
    <r>
      <rPr>
        <sz val="8"/>
        <rFont val="Arial"/>
        <family val="2"/>
        <charset val="186"/>
      </rPr>
      <t>Итого продукция № 1 оборот</t>
    </r>
  </si>
  <si>
    <t>столы</t>
  </si>
  <si>
    <r>
      <rPr>
        <sz val="8"/>
        <rFont val="Arial"/>
        <family val="2"/>
        <charset val="186"/>
      </rPr>
      <t xml:space="preserve">расход материала/товара на единицу </t>
    </r>
  </si>
  <si>
    <r>
      <rPr>
        <sz val="8"/>
        <rFont val="Arial"/>
        <family val="2"/>
        <charset val="186"/>
      </rPr>
      <t>Итого продукция № 2 оборот</t>
    </r>
  </si>
  <si>
    <t>размещение (без питания)</t>
  </si>
  <si>
    <r>
      <rPr>
        <sz val="8"/>
        <rFont val="Arial"/>
        <family val="2"/>
        <charset val="186"/>
      </rPr>
      <t>Итого продукция № 3 оборот</t>
    </r>
  </si>
  <si>
    <t>питание</t>
  </si>
  <si>
    <r>
      <rPr>
        <sz val="8"/>
        <rFont val="Arial"/>
        <family val="2"/>
        <charset val="186"/>
      </rPr>
      <t>расход материала/товара на единицу, кр.</t>
    </r>
  </si>
  <si>
    <r>
      <rPr>
        <sz val="8"/>
        <rFont val="Arial"/>
        <family val="2"/>
        <charset val="186"/>
      </rPr>
      <t>Итого продукция № 4 оборот</t>
    </r>
  </si>
  <si>
    <r>
      <rPr>
        <sz val="8"/>
        <rFont val="Arial"/>
        <family val="2"/>
        <charset val="186"/>
      </rPr>
      <t>Итого продукция № 5 оборот</t>
    </r>
  </si>
  <si>
    <r>
      <rPr>
        <sz val="8"/>
        <rFont val="Arial"/>
        <family val="2"/>
        <charset val="186"/>
      </rPr>
      <t>Итого продукция № 6 оборот</t>
    </r>
  </si>
  <si>
    <r>
      <rPr>
        <sz val="8"/>
        <rFont val="Arial"/>
        <family val="2"/>
        <charset val="186"/>
      </rPr>
      <t>Итого продукция № 7 оборот</t>
    </r>
  </si>
  <si>
    <r>
      <rPr>
        <sz val="8"/>
        <rFont val="Arial"/>
        <family val="2"/>
        <charset val="186"/>
      </rPr>
      <t>Итого продукция № 8 оборот</t>
    </r>
  </si>
  <si>
    <r>
      <rPr>
        <sz val="8"/>
        <rFont val="Arial"/>
        <family val="2"/>
        <charset val="186"/>
      </rPr>
      <t>Итого продукция № 9 оборот</t>
    </r>
  </si>
  <si>
    <r>
      <rPr>
        <sz val="8"/>
        <rFont val="Arial"/>
        <family val="2"/>
        <charset val="186"/>
      </rPr>
      <t>Итого продукция № 10 оборот</t>
    </r>
  </si>
  <si>
    <r>
      <rPr>
        <sz val="8"/>
        <color indexed="9"/>
        <rFont val="Arial"/>
        <family val="2"/>
        <charset val="186"/>
      </rPr>
      <t>пример НСО 9 %</t>
    </r>
  </si>
  <si>
    <r>
      <rPr>
        <b/>
        <sz val="8"/>
        <rFont val="Arial"/>
        <family val="2"/>
      </rPr>
      <t>ПРОГНОЗ КАССОВЫХ ДЕНЕЖНЫХ ПОТОКОВ</t>
    </r>
  </si>
  <si>
    <r>
      <rPr>
        <b/>
        <sz val="8"/>
        <rFont val="Arial"/>
        <family val="2"/>
        <charset val="186"/>
      </rPr>
      <t>Остаток денежных средств на начало периода</t>
    </r>
  </si>
  <si>
    <r>
      <rPr>
        <sz val="8"/>
        <rFont val="Arial"/>
        <family val="2"/>
      </rPr>
      <t>Произведено продукции/услуг за период</t>
    </r>
  </si>
  <si>
    <r>
      <rPr>
        <i/>
        <sz val="8"/>
        <rFont val="Arial"/>
        <family val="2"/>
        <charset val="186"/>
      </rPr>
      <t>в т.ч. на экспорт в %</t>
    </r>
  </si>
  <si>
    <r>
      <rPr>
        <i/>
        <sz val="8"/>
        <rFont val="Arial"/>
        <family val="2"/>
        <charset val="186"/>
      </rPr>
      <t>в т.ч. на экспорт в евро</t>
    </r>
  </si>
  <si>
    <r>
      <rPr>
        <sz val="8"/>
        <rFont val="Arial"/>
        <family val="2"/>
      </rPr>
      <t>единиц (часов, шт.)</t>
    </r>
  </si>
  <si>
    <r>
      <rPr>
        <sz val="8"/>
        <rFont val="Arial"/>
        <family val="2"/>
      </rPr>
      <t>средняя цена продажи одной единицы</t>
    </r>
  </si>
  <si>
    <r>
      <rPr>
        <b/>
        <sz val="8"/>
        <color indexed="61"/>
        <rFont val="Arial"/>
        <family val="2"/>
      </rPr>
      <t>Поступление денежных средств</t>
    </r>
  </si>
  <si>
    <r>
      <rPr>
        <sz val="8"/>
        <rFont val="Arial"/>
        <family val="2"/>
      </rPr>
      <t>Поступления от продажи с учетом продажи в кредит</t>
    </r>
  </si>
  <si>
    <r>
      <rPr>
        <i/>
        <sz val="8"/>
        <rFont val="Arial"/>
        <family val="2"/>
        <charset val="186"/>
      </rPr>
      <t>из этого доход от продажи, облагаемый налогом по ставке 0%</t>
    </r>
  </si>
  <si>
    <r>
      <rPr>
        <i/>
        <sz val="8"/>
        <rFont val="Arial"/>
        <family val="2"/>
        <charset val="186"/>
      </rPr>
      <t>из этого доход от продажи, облагаемый налогом по ставке 9%</t>
    </r>
  </si>
  <si>
    <r>
      <rPr>
        <i/>
        <sz val="8"/>
        <rFont val="Arial"/>
        <family val="2"/>
        <charset val="186"/>
      </rPr>
      <t>из этого доход от продажи, облагаемый налогом по ставке 20%</t>
    </r>
  </si>
  <si>
    <r>
      <rPr>
        <sz val="8"/>
        <rFont val="Arial"/>
        <family val="2"/>
      </rPr>
      <t>Другие коммерческие доходы (доход от аренды, доход от процентов и т.д.)</t>
    </r>
  </si>
  <si>
    <r>
      <rPr>
        <b/>
        <i/>
        <sz val="8"/>
        <color indexed="60"/>
        <rFont val="Arial"/>
        <family val="2"/>
      </rPr>
      <t>Налог с оборота</t>
    </r>
  </si>
  <si>
    <r>
      <rPr>
        <sz val="8"/>
        <rFont val="Arial"/>
        <family val="2"/>
      </rPr>
      <t>Взносы в капитал</t>
    </r>
  </si>
  <si>
    <r>
      <rPr>
        <sz val="8"/>
        <rFont val="Arial"/>
        <family val="2"/>
      </rPr>
      <t>Долгосрочные займы от кредиторов (банковский кредит и проч.)</t>
    </r>
  </si>
  <si>
    <r>
      <rPr>
        <sz val="8"/>
        <rFont val="Arial"/>
        <family val="2"/>
      </rPr>
      <t>Краткосрочные займы от кредиторов (банковский кредит и проч.)</t>
    </r>
  </si>
  <si>
    <r>
      <rPr>
        <sz val="8"/>
        <rFont val="Arial"/>
        <family val="2"/>
      </rPr>
      <t>Другие поступившие пособия на строительство зданий и реновацию находящихся в собственности помещений</t>
    </r>
  </si>
  <si>
    <r>
      <rPr>
        <sz val="8"/>
        <rFont val="Arial"/>
        <family val="2"/>
      </rPr>
      <t>Другие поступившие пособия на покупку прочих основных активов</t>
    </r>
  </si>
  <si>
    <r>
      <rPr>
        <sz val="8"/>
        <rFont val="Arial"/>
        <family val="2"/>
      </rPr>
      <t xml:space="preserve">Другие поступившие пособия </t>
    </r>
    <r>
      <rPr>
        <sz val="8"/>
        <rFont val="Arial"/>
        <family val="2"/>
        <charset val="186"/>
      </rPr>
      <t xml:space="preserve">на покрытие </t>
    </r>
    <r>
      <rPr>
        <b/>
        <sz val="8"/>
        <rFont val="Arial"/>
        <family val="2"/>
      </rPr>
      <t xml:space="preserve">расходов </t>
    </r>
  </si>
  <si>
    <r>
      <rPr>
        <sz val="8"/>
        <rFont val="Arial"/>
        <family val="2"/>
      </rPr>
      <t>Стартовое пособие</t>
    </r>
    <r>
      <rPr>
        <sz val="8"/>
        <rFont val="Arial"/>
        <family val="2"/>
        <charset val="186"/>
      </rPr>
      <t xml:space="preserve">на покрытие </t>
    </r>
    <r>
      <rPr>
        <b/>
        <sz val="8"/>
        <rFont val="Arial"/>
        <family val="2"/>
      </rPr>
      <t xml:space="preserve">расходов </t>
    </r>
    <r>
      <rPr>
        <sz val="8"/>
        <rFont val="Arial"/>
        <family val="2"/>
      </rPr>
      <t>(маркетинг, персонал и т.д.)</t>
    </r>
  </si>
  <si>
    <r>
      <rPr>
        <sz val="8"/>
        <rFont val="Arial"/>
        <family val="2"/>
      </rPr>
      <t>Стартовое пособие</t>
    </r>
    <r>
      <rPr>
        <sz val="8"/>
        <rFont val="Arial"/>
        <family val="2"/>
      </rPr>
      <t xml:space="preserve"> на приобретение </t>
    </r>
    <r>
      <rPr>
        <b/>
        <sz val="8"/>
        <rFont val="Arial"/>
        <family val="2"/>
        <charset val="186"/>
      </rPr>
      <t xml:space="preserve">материального </t>
    </r>
    <r>
      <rPr>
        <sz val="8"/>
        <rFont val="Arial"/>
        <family val="2"/>
        <charset val="186"/>
      </rPr>
      <t>основного имущества</t>
    </r>
  </si>
  <si>
    <r>
      <rPr>
        <sz val="8"/>
        <rFont val="Arial"/>
        <family val="2"/>
      </rPr>
      <t>Стартовое пособие</t>
    </r>
    <r>
      <rPr>
        <sz val="8"/>
        <rFont val="Arial"/>
        <family val="2"/>
      </rPr>
      <t xml:space="preserve"> на приобретение </t>
    </r>
    <r>
      <rPr>
        <b/>
        <sz val="8"/>
        <rFont val="Arial"/>
        <family val="2"/>
        <charset val="186"/>
      </rPr>
      <t xml:space="preserve">нематериального </t>
    </r>
    <r>
      <rPr>
        <sz val="8"/>
        <rFont val="Arial"/>
        <family val="2"/>
        <charset val="186"/>
      </rPr>
      <t>основного имущества</t>
    </r>
  </si>
  <si>
    <r>
      <rPr>
        <sz val="8"/>
        <rFont val="Arial"/>
        <family val="2"/>
      </rPr>
      <t>Прочие финансовые доходы</t>
    </r>
  </si>
  <si>
    <r>
      <rPr>
        <b/>
        <sz val="8"/>
        <rFont val="Arial"/>
        <family val="2"/>
      </rPr>
      <t>Итого поступления</t>
    </r>
  </si>
  <si>
    <r>
      <rPr>
        <b/>
        <sz val="8"/>
        <color indexed="61"/>
        <rFont val="Arial"/>
        <family val="2"/>
      </rPr>
      <t>Расход денежных средств</t>
    </r>
  </si>
  <si>
    <r>
      <rPr>
        <b/>
        <sz val="8"/>
        <color indexed="12"/>
        <rFont val="Arial"/>
        <family val="2"/>
      </rPr>
      <t>От инвестиционной деятельности</t>
    </r>
  </si>
  <si>
    <r>
      <rPr>
        <b/>
        <sz val="8"/>
        <rFont val="Arial"/>
        <family val="2"/>
      </rPr>
      <t>Приобретение нематериального основного имущества</t>
    </r>
  </si>
  <si>
    <r>
      <rPr>
        <sz val="8"/>
        <rFont val="Arial"/>
        <family val="2"/>
      </rPr>
      <t>Реновация находящихся в собственности зданий (капитализированные расходы), приобретение зданий, строительство зданий</t>
    </r>
  </si>
  <si>
    <r>
      <rPr>
        <sz val="8"/>
        <rFont val="Arial"/>
        <family val="2"/>
      </rPr>
      <t>Другое построенное с помощью пособия здание, сумма пособия на реновацию находящихся в собственности помещений</t>
    </r>
  </si>
  <si>
    <r>
      <rPr>
        <sz val="8"/>
        <rFont val="Arial"/>
        <family val="2"/>
      </rPr>
      <t>Сумма пособия на другое основное имущество, приобретенное с помощью другого пособия</t>
    </r>
  </si>
  <si>
    <r>
      <t xml:space="preserve">Сумма пособия на материальное основное имущество (машины и оборудование), приобретенное с помощью </t>
    </r>
    <r>
      <rPr>
        <b/>
        <sz val="8"/>
        <rFont val="Arial"/>
        <family val="2"/>
        <charset val="186"/>
      </rPr>
      <t>стартового пособи</t>
    </r>
    <r>
      <rPr>
        <b/>
        <sz val="8"/>
        <rFont val="Arial"/>
        <family val="2"/>
      </rPr>
      <t>я</t>
    </r>
  </si>
  <si>
    <r>
      <rPr>
        <sz val="8"/>
        <rFont val="Arial"/>
        <family val="2"/>
      </rPr>
      <t>Машины, оборудование и другое основное имущество (стоимость приобретения минус пособие)</t>
    </r>
  </si>
  <si>
    <r>
      <rPr>
        <sz val="8"/>
        <rFont val="Arial"/>
        <family val="2"/>
      </rPr>
      <t>Мебель и прочий инвентарь</t>
    </r>
  </si>
  <si>
    <r>
      <rPr>
        <sz val="8"/>
        <rFont val="Arial"/>
        <family val="2"/>
      </rPr>
      <t>Офисная техника</t>
    </r>
  </si>
  <si>
    <r>
      <rPr>
        <b/>
        <sz val="8"/>
        <rFont val="Arial"/>
        <family val="2"/>
        <charset val="186"/>
      </rPr>
      <t>Приобретение нематериального основного имущества (лицензии, товарные знаки, программное обеспечение и т.п.)</t>
    </r>
  </si>
  <si>
    <r>
      <t xml:space="preserve">Сумма пособия на </t>
    </r>
    <r>
      <rPr>
        <b/>
        <sz val="8"/>
        <rFont val="Arial"/>
        <family val="2"/>
        <charset val="186"/>
      </rPr>
      <t xml:space="preserve">нематериальное основное имущество </t>
    </r>
    <r>
      <rPr>
        <sz val="8"/>
        <rFont val="Arial"/>
        <family val="2"/>
      </rPr>
      <t xml:space="preserve">, приобретенные с помощью </t>
    </r>
    <r>
      <rPr>
        <b/>
        <sz val="8"/>
        <rFont val="Arial"/>
        <family val="2"/>
        <charset val="186"/>
      </rPr>
      <t>стартового пособи</t>
    </r>
    <r>
      <rPr>
        <b/>
        <sz val="8"/>
        <rFont val="Arial"/>
        <family val="2"/>
      </rPr>
      <t>я</t>
    </r>
  </si>
  <si>
    <r>
      <rPr>
        <sz val="8"/>
        <rFont val="Arial"/>
        <family val="2"/>
      </rPr>
      <t>Нематериальное основное имущество (стоимость приобретения минус пособие)</t>
    </r>
  </si>
  <si>
    <r>
      <rPr>
        <b/>
        <sz val="8"/>
        <color indexed="12"/>
        <rFont val="Arial"/>
        <family val="2"/>
      </rPr>
      <t>Расходы, возникающие в процессе хозяйственной деятельности</t>
    </r>
  </si>
  <si>
    <r>
      <rPr>
        <b/>
        <sz val="8"/>
        <rFont val="Arial"/>
        <family val="2"/>
      </rPr>
      <t xml:space="preserve">Приобретения непосредственно в целях основной деятельности </t>
    </r>
  </si>
  <si>
    <r>
      <rPr>
        <sz val="8"/>
        <rFont val="Arial"/>
        <family val="2"/>
      </rPr>
      <t>Сырье и материалы</t>
    </r>
  </si>
  <si>
    <r>
      <rPr>
        <sz val="8"/>
        <rFont val="Arial"/>
        <family val="2"/>
      </rPr>
      <t>Приобретенные услуги</t>
    </r>
  </si>
  <si>
    <r>
      <rPr>
        <b/>
        <sz val="8"/>
        <rFont val="Arial"/>
        <family val="2"/>
      </rPr>
      <t>Расходы на сбыт</t>
    </r>
  </si>
  <si>
    <r>
      <rPr>
        <sz val="8"/>
        <rFont val="Arial"/>
        <family val="2"/>
      </rPr>
      <t>Расходы на рекламу</t>
    </r>
  </si>
  <si>
    <r>
      <rPr>
        <sz val="8"/>
        <rFont val="Arial"/>
        <family val="2"/>
      </rPr>
      <t>Транспортные услуги, связанные со сбытом</t>
    </r>
  </si>
  <si>
    <r>
      <rPr>
        <sz val="8"/>
        <rFont val="Arial"/>
        <family val="2"/>
      </rPr>
      <t>Горючее для автомобилей в связи со сбытом</t>
    </r>
  </si>
  <si>
    <r>
      <rPr>
        <b/>
        <sz val="8"/>
        <rFont val="Arial"/>
        <family val="2"/>
      </rPr>
      <t>Общие административные расходы</t>
    </r>
  </si>
  <si>
    <r>
      <rPr>
        <b/>
        <sz val="8"/>
        <color indexed="12"/>
        <rFont val="Arial"/>
        <family val="2"/>
      </rPr>
      <t>Издержки, покрываемые пособием (уточнить)</t>
    </r>
  </si>
  <si>
    <r>
      <rPr>
        <b/>
        <sz val="8"/>
        <rFont val="Arial"/>
        <family val="2"/>
      </rPr>
      <t>Хозяйственные расходы, связанные с помещениями</t>
    </r>
  </si>
  <si>
    <r>
      <rPr>
        <sz val="8"/>
        <rFont val="Arial"/>
        <family val="2"/>
      </rPr>
      <t>Отопление</t>
    </r>
  </si>
  <si>
    <r>
      <rPr>
        <sz val="8"/>
        <rFont val="Arial"/>
        <family val="2"/>
      </rPr>
      <t>Электричество</t>
    </r>
  </si>
  <si>
    <r>
      <rPr>
        <sz val="8"/>
        <rFont val="Arial"/>
        <family val="2"/>
      </rPr>
      <t>Аренда</t>
    </r>
  </si>
  <si>
    <r>
      <rPr>
        <sz val="8"/>
        <rFont val="Arial"/>
        <family val="2"/>
      </rPr>
      <t>Услуги по охране</t>
    </r>
  </si>
  <si>
    <r>
      <rPr>
        <sz val="8"/>
        <rFont val="Arial"/>
        <family val="2"/>
      </rPr>
      <t>Расходы на содержание помещений</t>
    </r>
  </si>
  <si>
    <r>
      <rPr>
        <sz val="8"/>
        <rFont val="Arial"/>
        <family val="2"/>
      </rPr>
      <t>Расходы на ремонт помещений</t>
    </r>
  </si>
  <si>
    <r>
      <rPr>
        <sz val="8"/>
        <rFont val="Arial"/>
        <family val="2"/>
      </rPr>
      <t>Страхование помещений</t>
    </r>
  </si>
  <si>
    <r>
      <rPr>
        <b/>
        <sz val="8"/>
        <rFont val="Arial"/>
        <family val="2"/>
      </rPr>
      <t>Транспортные расходы</t>
    </r>
  </si>
  <si>
    <r>
      <rPr>
        <sz val="8"/>
        <rFont val="Arial"/>
        <family val="2"/>
      </rPr>
      <t>Приобретенные транспортные услуги</t>
    </r>
  </si>
  <si>
    <r>
      <rPr>
        <sz val="8"/>
        <rFont val="Arial"/>
        <family val="2"/>
      </rPr>
      <t>Горючее для автомобилей</t>
    </r>
  </si>
  <si>
    <r>
      <rPr>
        <sz val="8"/>
        <rFont val="Arial"/>
        <family val="2"/>
      </rPr>
      <t>Техобслуживание автомобилей и ремонтные расходы</t>
    </r>
  </si>
  <si>
    <r>
      <rPr>
        <sz val="8"/>
        <rFont val="Arial"/>
        <family val="2"/>
      </rPr>
      <t>Страхование транспортных средств</t>
    </r>
  </si>
  <si>
    <r>
      <rPr>
        <b/>
        <sz val="8"/>
        <rFont val="Arial"/>
        <family val="2"/>
      </rPr>
      <t>Расходы на ИТ и связь</t>
    </r>
  </si>
  <si>
    <r>
      <rPr>
        <sz val="8"/>
        <rFont val="Arial"/>
        <family val="2"/>
      </rPr>
      <t>GSM</t>
    </r>
  </si>
  <si>
    <r>
      <rPr>
        <sz val="8"/>
        <rFont val="Arial"/>
        <family val="2"/>
      </rPr>
      <t>Обычный телефон</t>
    </r>
  </si>
  <si>
    <r>
      <rPr>
        <sz val="8"/>
        <rFont val="Arial"/>
        <family val="2"/>
      </rPr>
      <t>Расходы, связанные с вычислительной техникой и программным обеспечением</t>
    </r>
  </si>
  <si>
    <r>
      <rPr>
        <b/>
        <sz val="8"/>
        <rFont val="Arial"/>
        <family val="2"/>
      </rPr>
      <t>Прочие расходы</t>
    </r>
  </si>
  <si>
    <r>
      <rPr>
        <sz val="8"/>
        <rFont val="Arial"/>
        <family val="2"/>
      </rPr>
      <t>Канцелярские товары</t>
    </r>
  </si>
  <si>
    <r>
      <rPr>
        <sz val="8"/>
        <rFont val="Arial"/>
        <family val="2"/>
      </rPr>
      <t>Банковские расходы</t>
    </r>
  </si>
  <si>
    <r>
      <rPr>
        <sz val="8"/>
        <rFont val="Arial"/>
        <family val="2"/>
      </rPr>
      <t>Обслуживание и ремонт оборудования</t>
    </r>
  </si>
  <si>
    <r>
      <rPr>
        <sz val="8"/>
        <rFont val="Arial"/>
        <family val="2"/>
      </rPr>
      <t>Прочие расходы</t>
    </r>
  </si>
  <si>
    <r>
      <rPr>
        <b/>
        <sz val="8"/>
        <rFont val="Arial"/>
        <family val="2"/>
      </rPr>
      <t>Расходы на персонал</t>
    </r>
  </si>
  <si>
    <r>
      <rPr>
        <sz val="8"/>
        <rFont val="Arial"/>
        <family val="2"/>
      </rPr>
      <t>Брутто-зарплата (выплачивается в тот же месяц)</t>
    </r>
  </si>
  <si>
    <r>
      <rPr>
        <sz val="8"/>
        <rFont val="Arial"/>
        <family val="2"/>
      </rPr>
      <t>Социальный налог (уплачивается в следующем месяце)</t>
    </r>
  </si>
  <si>
    <r>
      <rPr>
        <sz val="8"/>
        <rFont val="Arial"/>
        <family val="2"/>
      </rPr>
      <t>Взнос по страхованию от безработицы (уплачивается в следующем месяце)</t>
    </r>
  </si>
  <si>
    <r>
      <rPr>
        <sz val="8"/>
        <rFont val="Arial"/>
        <family val="2"/>
      </rPr>
      <t>Расходы на обучение</t>
    </r>
  </si>
  <si>
    <r>
      <rPr>
        <b/>
        <sz val="8"/>
        <rFont val="Arial"/>
        <family val="2"/>
      </rPr>
      <t>Налоги</t>
    </r>
  </si>
  <si>
    <r>
      <rPr>
        <sz val="8"/>
        <rFont val="Arial"/>
        <family val="2"/>
      </rPr>
      <t>Прочие налоги (госпошлины и т.п.)</t>
    </r>
  </si>
  <si>
    <r>
      <rPr>
        <b/>
        <sz val="8"/>
        <color indexed="12"/>
        <rFont val="Arial"/>
        <family val="2"/>
      </rPr>
      <t>От финансирования</t>
    </r>
  </si>
  <si>
    <r>
      <rPr>
        <sz val="8"/>
        <rFont val="Arial"/>
        <family val="2"/>
      </rPr>
      <t>Возвратные платежи по долгосрочному кредиту</t>
    </r>
  </si>
  <si>
    <r>
      <rPr>
        <sz val="8"/>
        <rFont val="Arial"/>
        <family val="2"/>
      </rPr>
      <t>Возвратные платежи по краткосрочному кредиту</t>
    </r>
  </si>
  <si>
    <r>
      <rPr>
        <sz val="8"/>
        <rFont val="Arial"/>
        <family val="2"/>
      </rPr>
      <t>Проценты</t>
    </r>
  </si>
  <si>
    <r>
      <rPr>
        <sz val="8"/>
        <rFont val="Arial"/>
        <family val="2"/>
      </rPr>
      <t>Корректировка налога с оборота</t>
    </r>
  </si>
  <si>
    <r>
      <rPr>
        <sz val="8"/>
        <rFont val="Arial"/>
        <family val="2"/>
      </rPr>
      <t>Выплата дивидендов (сумма-брутто)</t>
    </r>
  </si>
  <si>
    <r>
      <rPr>
        <b/>
        <sz val="8"/>
        <rFont val="Arial"/>
        <family val="2"/>
      </rPr>
      <t>Итого использование</t>
    </r>
  </si>
  <si>
    <r>
      <rPr>
        <b/>
        <sz val="8"/>
        <rFont val="Arial"/>
        <family val="2"/>
      </rPr>
      <t>Требования-обязательства предыдущего периода (за искл. кредитных обязательств)</t>
    </r>
  </si>
  <si>
    <r>
      <rPr>
        <b/>
        <sz val="8"/>
        <rFont val="Arial"/>
        <family val="2"/>
      </rPr>
      <t>Остаток денежных средств в конце периода</t>
    </r>
  </si>
  <si>
    <r>
      <rPr>
        <sz val="8"/>
        <rFont val="Arial"/>
        <family val="2"/>
      </rPr>
      <t>расчет налога с оборота</t>
    </r>
  </si>
  <si>
    <r>
      <rPr>
        <sz val="8"/>
        <rFont val="Arial"/>
        <family val="2"/>
      </rPr>
      <t>поддержанная зарплата/маркетинговые расходы</t>
    </r>
  </si>
  <si>
    <r>
      <rPr>
        <sz val="8"/>
        <rFont val="Arial"/>
        <family val="2"/>
      </rPr>
      <t>приобретение, реновация зданий</t>
    </r>
  </si>
  <si>
    <r>
      <rPr>
        <sz val="8"/>
        <rFont val="Arial"/>
        <family val="2"/>
      </rPr>
      <t>находящиеся в собственности здания, реновированные с помощью целевого финансирования</t>
    </r>
  </si>
  <si>
    <r>
      <rPr>
        <sz val="8"/>
        <rFont val="Arial"/>
        <family val="2"/>
      </rPr>
      <t>приобретение оборудования</t>
    </r>
  </si>
  <si>
    <r>
      <rPr>
        <sz val="8"/>
        <rFont val="Arial"/>
        <family val="2"/>
      </rPr>
      <t>материальное ОИ, приобретенное с помощью стартового пособия или пособия на развитие</t>
    </r>
  </si>
  <si>
    <r>
      <rPr>
        <sz val="8"/>
        <rFont val="Arial"/>
        <family val="2"/>
      </rPr>
      <t>расчет амортизации зданий</t>
    </r>
  </si>
  <si>
    <r>
      <rPr>
        <sz val="8"/>
        <rFont val="Arial"/>
        <family val="2"/>
      </rPr>
      <t>расчет амортизации оборудования</t>
    </r>
  </si>
  <si>
    <r>
      <rPr>
        <sz val="8"/>
        <rFont val="Arial"/>
        <family val="2"/>
      </rPr>
      <t>аморт. ОИ, приобретенного с помощью целевого финансирования</t>
    </r>
  </si>
  <si>
    <r>
      <rPr>
        <sz val="8"/>
        <rFont val="Arial"/>
        <family val="2"/>
      </rPr>
      <t>аморт. находящихся в собственности зданий, реновированных с помощью целевого финансирования</t>
    </r>
  </si>
  <si>
    <r>
      <rPr>
        <sz val="8"/>
        <rFont val="Arial"/>
        <family val="2"/>
      </rPr>
      <t>приобретение основного нематериального имущества</t>
    </r>
  </si>
  <si>
    <r>
      <rPr>
        <sz val="8"/>
        <rFont val="Arial"/>
        <family val="2"/>
      </rPr>
      <t>нематериальное ОИ, приобретенное с помощью стартового пособия или пособия на развитие</t>
    </r>
  </si>
  <si>
    <r>
      <rPr>
        <sz val="8"/>
        <rFont val="Arial"/>
        <family val="2"/>
      </rPr>
      <t>аморт. основного нематериального имущества</t>
    </r>
  </si>
  <si>
    <r>
      <rPr>
        <sz val="8"/>
        <rFont val="Arial"/>
        <family val="2"/>
      </rPr>
      <t>аморт. нематериального ОИФ, приобретенного с помощью стартового пособия или пособия на развитие</t>
    </r>
  </si>
  <si>
    <r>
      <rPr>
        <sz val="8"/>
        <color indexed="10"/>
        <rFont val="Arial"/>
        <family val="2"/>
        <charset val="186"/>
      </rPr>
      <t>NB!</t>
    </r>
    <r>
      <rPr>
        <sz val="8"/>
        <rFont val="Arial"/>
        <family val="2"/>
      </rPr>
      <t>К остатку денежных средств за первый месяц прибавляют находящиеся на балансе предыдущего периода требования и вычитают краткосрочн. обязательства (</t>
    </r>
    <r>
      <rPr>
        <sz val="8"/>
        <color indexed="10"/>
        <rFont val="Arial"/>
        <family val="2"/>
        <charset val="186"/>
      </rPr>
      <t>за искл. кредитных обяз-в</t>
    </r>
    <r>
      <rPr>
        <sz val="8"/>
        <rFont val="Arial"/>
        <family val="2"/>
      </rPr>
      <t>)</t>
    </r>
  </si>
  <si>
    <r>
      <rPr>
        <sz val="8"/>
        <rFont val="Arial"/>
        <family val="2"/>
      </rPr>
      <t>Расчет основывается на предпосылке, что все краткоср.  требования поступят и краткоср. обязательства оплачиваются в месяце, следующем за возникновением требований/обязательств</t>
    </r>
  </si>
  <si>
    <r>
      <rPr>
        <sz val="8"/>
        <rFont val="Arial"/>
        <family val="2"/>
      </rPr>
      <t>итого 1 год</t>
    </r>
  </si>
  <si>
    <r>
      <rPr>
        <sz val="8"/>
        <rFont val="Arial"/>
        <family val="2"/>
      </rPr>
      <t>2 год</t>
    </r>
  </si>
  <si>
    <r>
      <rPr>
        <sz val="8"/>
        <rFont val="Arial"/>
        <family val="2"/>
      </rPr>
      <t>3 год</t>
    </r>
  </si>
  <si>
    <r>
      <rPr>
        <sz val="8"/>
        <rFont val="Arial"/>
        <family val="2"/>
      </rPr>
      <t xml:space="preserve">4 год </t>
    </r>
  </si>
  <si>
    <t>Продукция</t>
  </si>
  <si>
    <r>
      <rPr>
        <b/>
        <sz val="10"/>
        <rFont val="Arial"/>
        <family val="2"/>
      </rPr>
      <t>ПРОГНОЗ ОТЧЕТА О ПРИБЫЛИ</t>
    </r>
  </si>
  <si>
    <r>
      <rPr>
        <b/>
        <sz val="10"/>
        <color indexed="12"/>
        <rFont val="Arial"/>
        <family val="2"/>
      </rPr>
      <t>Доходы от хозяйственной деятельности</t>
    </r>
  </si>
  <si>
    <r>
      <rPr>
        <sz val="10"/>
        <rFont val="Arial"/>
        <family val="2"/>
      </rPr>
      <t>Доходы от продаж</t>
    </r>
  </si>
  <si>
    <r>
      <rPr>
        <i/>
        <sz val="10"/>
        <color indexed="12"/>
        <rFont val="Arial"/>
        <family val="2"/>
        <charset val="186"/>
      </rPr>
      <t>в т.ч. экспорт</t>
    </r>
  </si>
  <si>
    <r>
      <rPr>
        <i/>
        <sz val="10"/>
        <color indexed="12"/>
        <rFont val="Arial"/>
        <family val="2"/>
        <charset val="186"/>
      </rPr>
      <t>доля экспорта в обороте</t>
    </r>
  </si>
  <si>
    <r>
      <rPr>
        <i/>
        <sz val="10"/>
        <color indexed="12"/>
        <rFont val="Arial"/>
        <family val="2"/>
        <charset val="186"/>
      </rPr>
      <t>единицы (часы, шт.)</t>
    </r>
  </si>
  <si>
    <r>
      <rPr>
        <i/>
        <sz val="10"/>
        <color indexed="12"/>
        <rFont val="Arial"/>
        <family val="2"/>
        <charset val="186"/>
      </rPr>
      <t>средняя цена продажи одной единицы</t>
    </r>
  </si>
  <si>
    <r>
      <rPr>
        <sz val="10"/>
        <rFont val="Arial"/>
        <family val="2"/>
      </rPr>
      <t>Прочие доходы (доход от аренды, доход от процентов и т.д.)</t>
    </r>
  </si>
  <si>
    <r>
      <rPr>
        <b/>
        <sz val="10"/>
        <rFont val="Arial"/>
        <family val="2"/>
      </rPr>
      <t>Итого доходы от продажи</t>
    </r>
  </si>
  <si>
    <r>
      <rPr>
        <sz val="10"/>
        <color indexed="55"/>
        <rFont val="Arial"/>
        <family val="2"/>
      </rPr>
      <t xml:space="preserve">Доходы от целевого финансирования </t>
    </r>
  </si>
  <si>
    <r>
      <rPr>
        <b/>
        <sz val="10"/>
        <rFont val="Arial"/>
        <family val="2"/>
      </rPr>
      <t>Итого доходы</t>
    </r>
  </si>
  <si>
    <r>
      <rPr>
        <b/>
        <sz val="10"/>
        <rFont val="Arial"/>
        <family val="2"/>
      </rPr>
      <t xml:space="preserve">Рост дохода от продажи по сравнению с предыдущим годом </t>
    </r>
  </si>
  <si>
    <r>
      <rPr>
        <b/>
        <sz val="10"/>
        <color indexed="12"/>
        <rFont val="Arial"/>
        <family val="2"/>
        <charset val="186"/>
      </rPr>
      <t>Расходы, возникающие в процессе хозяйственной деятельности</t>
    </r>
  </si>
  <si>
    <r>
      <rPr>
        <b/>
        <sz val="10"/>
        <rFont val="Arial"/>
        <family val="2"/>
        <charset val="186"/>
      </rPr>
      <t xml:space="preserve">Приобретения непосредственно в целях основной деятельности </t>
    </r>
  </si>
  <si>
    <r>
      <rPr>
        <b/>
        <sz val="10"/>
        <rFont val="Arial"/>
        <family val="2"/>
        <charset val="186"/>
      </rPr>
      <t>Расходы на сбыт</t>
    </r>
  </si>
  <si>
    <r>
      <rPr>
        <b/>
        <sz val="10"/>
        <rFont val="Arial"/>
        <family val="2"/>
        <charset val="186"/>
      </rPr>
      <t>Общие административные расходы</t>
    </r>
  </si>
  <si>
    <r>
      <rPr>
        <b/>
        <sz val="10"/>
        <rFont val="Arial"/>
        <family val="2"/>
        <charset val="186"/>
      </rPr>
      <t>Хозяйственные расходы, связанные с помещениями</t>
    </r>
  </si>
  <si>
    <r>
      <rPr>
        <b/>
        <sz val="10"/>
        <rFont val="Arial"/>
        <family val="2"/>
        <charset val="186"/>
      </rPr>
      <t>Транспортные расходы</t>
    </r>
  </si>
  <si>
    <r>
      <rPr>
        <b/>
        <sz val="10"/>
        <rFont val="Arial"/>
        <family val="2"/>
        <charset val="186"/>
      </rPr>
      <t>Расходы на ИТ и связь</t>
    </r>
  </si>
  <si>
    <r>
      <rPr>
        <b/>
        <sz val="10"/>
        <rFont val="Arial"/>
        <family val="2"/>
        <charset val="186"/>
      </rPr>
      <t>Прочие расходы</t>
    </r>
  </si>
  <si>
    <r>
      <rPr>
        <b/>
        <sz val="10"/>
        <rFont val="Arial"/>
        <family val="2"/>
        <charset val="186"/>
      </rPr>
      <t>Расходы на персонал</t>
    </r>
  </si>
  <si>
    <r>
      <rPr>
        <b/>
        <sz val="10"/>
        <rFont val="Arial"/>
        <family val="2"/>
        <charset val="186"/>
      </rPr>
      <t>Итого расходы на оплату труда</t>
    </r>
  </si>
  <si>
    <r>
      <rPr>
        <b/>
        <sz val="10"/>
        <rFont val="Arial"/>
        <family val="2"/>
        <charset val="186"/>
      </rPr>
      <t>Налоги</t>
    </r>
  </si>
  <si>
    <r>
      <rPr>
        <b/>
        <sz val="10"/>
        <rFont val="Arial"/>
        <family val="2"/>
        <charset val="186"/>
      </rPr>
      <t>Амортизация</t>
    </r>
  </si>
  <si>
    <r>
      <rPr>
        <sz val="10"/>
        <rFont val="Arial"/>
        <family val="2"/>
      </rPr>
      <t>Аморт. зданий</t>
    </r>
  </si>
  <si>
    <r>
      <rPr>
        <sz val="10"/>
        <rFont val="Arial"/>
        <family val="2"/>
      </rPr>
      <t>Аморт. оборудования и другого основного имущества</t>
    </r>
  </si>
  <si>
    <r>
      <rPr>
        <sz val="10"/>
        <rFont val="Arial"/>
        <family val="2"/>
      </rPr>
      <t>Аморт. основного нематериального имущества</t>
    </r>
  </si>
  <si>
    <r>
      <rPr>
        <b/>
        <sz val="10"/>
        <rFont val="Arial"/>
        <family val="2"/>
      </rPr>
      <t>Итого расходы</t>
    </r>
  </si>
  <si>
    <r>
      <rPr>
        <sz val="10"/>
        <rFont val="Arial"/>
        <family val="2"/>
        <charset val="186"/>
      </rPr>
      <t xml:space="preserve">         в т.ч. прочие административные расходы (без аморт.)</t>
    </r>
  </si>
  <si>
    <r>
      <rPr>
        <b/>
        <sz val="10"/>
        <rFont val="Arial"/>
        <family val="2"/>
      </rPr>
      <t>Финансовые расходы</t>
    </r>
  </si>
  <si>
    <r>
      <rPr>
        <sz val="10"/>
        <rFont val="Arial"/>
        <family val="2"/>
        <charset val="186"/>
      </rPr>
      <t>Проценты и т.п.</t>
    </r>
  </si>
  <si>
    <r>
      <rPr>
        <b/>
        <sz val="10"/>
        <rFont val="Arial"/>
        <family val="2"/>
      </rPr>
      <t>Прибыль от хозяйственной деятельности</t>
    </r>
  </si>
  <si>
    <r>
      <rPr>
        <sz val="8"/>
        <rFont val="Arial"/>
        <family val="2"/>
        <charset val="186"/>
      </rPr>
      <t>среднее число работников</t>
    </r>
  </si>
  <si>
    <r>
      <rPr>
        <sz val="8"/>
        <rFont val="Arial"/>
        <family val="2"/>
      </rPr>
      <t>добавленная стоимость на работника</t>
    </r>
  </si>
  <si>
    <r>
      <rPr>
        <sz val="8"/>
        <rFont val="Arial"/>
        <family val="2"/>
      </rPr>
      <t>рентабельность оборотных активов</t>
    </r>
  </si>
  <si>
    <r>
      <rPr>
        <sz val="8"/>
        <rFont val="Arial"/>
        <family val="2"/>
      </rPr>
      <t xml:space="preserve">1 год </t>
    </r>
  </si>
  <si>
    <r>
      <rPr>
        <b/>
        <sz val="10"/>
        <rFont val="Arial"/>
        <family val="2"/>
        <charset val="186"/>
      </rPr>
      <t>ПРОГНОЗ БАЛАНСА</t>
    </r>
  </si>
  <si>
    <r>
      <rPr>
        <b/>
        <sz val="10"/>
        <rFont val="Arial"/>
        <family val="2"/>
        <charset val="186"/>
      </rPr>
      <t>АКТИВЫ</t>
    </r>
  </si>
  <si>
    <r>
      <rPr>
        <sz val="10"/>
        <rFont val="Arial"/>
        <family val="2"/>
        <charset val="186"/>
      </rPr>
      <t>Денежные средства и банковские счета</t>
    </r>
  </si>
  <si>
    <r>
      <rPr>
        <sz val="10"/>
        <rFont val="Arial"/>
        <family val="2"/>
        <charset val="186"/>
      </rPr>
      <t>Требования к покупателям</t>
    </r>
  </si>
  <si>
    <r>
      <rPr>
        <sz val="10"/>
        <rFont val="Arial"/>
        <family val="2"/>
        <charset val="186"/>
      </rPr>
      <t>Различные требования</t>
    </r>
  </si>
  <si>
    <r>
      <rPr>
        <sz val="10"/>
        <rFont val="Arial"/>
        <family val="2"/>
        <charset val="186"/>
      </rPr>
      <t>Предоплата</t>
    </r>
  </si>
  <si>
    <r>
      <rPr>
        <sz val="10"/>
        <rFont val="Arial"/>
        <family val="2"/>
        <charset val="186"/>
      </rPr>
      <t>Запасы сырья</t>
    </r>
  </si>
  <si>
    <r>
      <rPr>
        <sz val="10"/>
        <rFont val="Arial"/>
        <family val="2"/>
        <charset val="186"/>
      </rPr>
      <t>Запасы готовой продукции</t>
    </r>
  </si>
  <si>
    <r>
      <rPr>
        <b/>
        <sz val="10"/>
        <rFont val="Arial"/>
        <family val="2"/>
        <charset val="186"/>
      </rPr>
      <t>Итого оборотное имущество</t>
    </r>
  </si>
  <si>
    <r>
      <rPr>
        <sz val="10"/>
        <rFont val="Arial"/>
        <family val="2"/>
        <charset val="186"/>
      </rPr>
      <t>Основное материальное имущество (здания)</t>
    </r>
  </si>
  <si>
    <r>
      <rPr>
        <sz val="10"/>
        <rFont val="Arial"/>
        <family val="2"/>
        <charset val="186"/>
      </rPr>
      <t>Основное материальное имущество (оборудование и прочее)</t>
    </r>
  </si>
  <si>
    <r>
      <rPr>
        <sz val="10"/>
        <rFont val="Arial"/>
        <family val="2"/>
        <charset val="186"/>
      </rPr>
      <t>Аккумулированный износ (со знаком минус)</t>
    </r>
  </si>
  <si>
    <r>
      <rPr>
        <sz val="10"/>
        <rFont val="Arial"/>
        <family val="2"/>
        <charset val="186"/>
      </rPr>
      <t>Основное нематериальное имущество</t>
    </r>
  </si>
  <si>
    <r>
      <rPr>
        <sz val="10"/>
        <rFont val="Arial"/>
        <family val="2"/>
        <charset val="186"/>
      </rPr>
      <t>Износ основного нематериального имущества</t>
    </r>
  </si>
  <si>
    <r>
      <rPr>
        <sz val="10"/>
        <rFont val="Arial"/>
        <family val="2"/>
        <charset val="186"/>
      </rPr>
      <t>Основное нематериальное имущество, приобретенное с помощью целевого финансирования</t>
    </r>
  </si>
  <si>
    <r>
      <rPr>
        <b/>
        <sz val="10"/>
        <rFont val="Arial"/>
        <family val="2"/>
        <charset val="186"/>
      </rPr>
      <t>Итого основное имущество</t>
    </r>
  </si>
  <si>
    <r>
      <rPr>
        <b/>
        <sz val="10"/>
        <rFont val="Arial"/>
        <family val="2"/>
        <charset val="186"/>
      </rPr>
      <t>ИТОГО АКТИВЫ</t>
    </r>
  </si>
  <si>
    <r>
      <rPr>
        <b/>
        <sz val="10"/>
        <rFont val="Arial"/>
        <family val="2"/>
        <charset val="186"/>
      </rPr>
      <t>ПАССИВЫ (ОБЯЗАТЕЛЬСТВА И СОБСТВЕННЫЙ КАПИТАЛ)</t>
    </r>
  </si>
  <si>
    <r>
      <rPr>
        <sz val="10"/>
        <rFont val="Arial"/>
        <family val="2"/>
        <charset val="186"/>
      </rPr>
      <t>Краткосрочные долговые обязательства (кредиты, аренда капитала)</t>
    </r>
  </si>
  <si>
    <r>
      <rPr>
        <sz val="10"/>
        <rFont val="Arial"/>
        <family val="2"/>
        <charset val="186"/>
      </rPr>
      <t>Долгосрочные кредиты, краткосрочная часть аренды капитала)</t>
    </r>
  </si>
  <si>
    <r>
      <rPr>
        <sz val="10"/>
        <rFont val="Arial"/>
        <family val="2"/>
        <charset val="186"/>
      </rPr>
      <t>Предоплата покупателей за продукцию и товары</t>
    </r>
  </si>
  <si>
    <r>
      <rPr>
        <sz val="10"/>
        <rFont val="Arial"/>
        <family val="2"/>
        <charset val="186"/>
      </rPr>
      <t>Задолженность поставщикам</t>
    </r>
  </si>
  <si>
    <r>
      <rPr>
        <sz val="10"/>
        <rFont val="Arial"/>
        <family val="2"/>
        <charset val="186"/>
      </rPr>
      <t>Различная задолженность</t>
    </r>
  </si>
  <si>
    <r>
      <rPr>
        <sz val="10"/>
        <rFont val="Arial"/>
        <family val="2"/>
        <charset val="186"/>
      </rPr>
      <t>Задолженность по налогам</t>
    </r>
  </si>
  <si>
    <r>
      <rPr>
        <b/>
        <sz val="10"/>
        <rFont val="Arial"/>
        <family val="2"/>
        <charset val="186"/>
      </rPr>
      <t>Итого краткосрочные обязательства</t>
    </r>
  </si>
  <si>
    <r>
      <rPr>
        <sz val="10"/>
        <rFont val="Arial"/>
        <family val="2"/>
        <charset val="186"/>
      </rPr>
      <t>Долгосрочные кредиты, аренда капитала</t>
    </r>
  </si>
  <si>
    <r>
      <rPr>
        <sz val="10"/>
        <rFont val="Arial"/>
        <family val="2"/>
        <charset val="186"/>
      </rPr>
      <t>Прочая долгосрочная задолженность</t>
    </r>
  </si>
  <si>
    <r>
      <rPr>
        <i/>
        <sz val="10"/>
        <rFont val="Arial"/>
        <family val="2"/>
        <charset val="186"/>
      </rPr>
      <t>Доходы от целевого финансирования будущих периодов</t>
    </r>
  </si>
  <si>
    <r>
      <rPr>
        <b/>
        <sz val="10"/>
        <rFont val="Arial"/>
        <family val="2"/>
        <charset val="186"/>
      </rPr>
      <t>Итого долгосрочные обязательства</t>
    </r>
  </si>
  <si>
    <r>
      <rPr>
        <sz val="10"/>
        <rFont val="Arial"/>
        <family val="2"/>
        <charset val="186"/>
      </rPr>
      <t>Паевой капитал в номинальной стоимости</t>
    </r>
  </si>
  <si>
    <r>
      <rPr>
        <sz val="10"/>
        <rFont val="Arial"/>
        <family val="2"/>
        <charset val="186"/>
      </rPr>
      <t>Обязательный резервный капитал</t>
    </r>
  </si>
  <si>
    <r>
      <rPr>
        <sz val="10"/>
        <rFont val="Arial"/>
        <family val="2"/>
        <charset val="186"/>
      </rPr>
      <t>Нераспределенная прибыль предыдущих периодов</t>
    </r>
  </si>
  <si>
    <r>
      <rPr>
        <sz val="10"/>
        <rFont val="Arial"/>
        <family val="2"/>
        <charset val="186"/>
      </rPr>
      <t>Прибыль за отчетный год</t>
    </r>
  </si>
  <si>
    <r>
      <rPr>
        <b/>
        <sz val="10"/>
        <rFont val="Arial"/>
        <family val="2"/>
        <charset val="186"/>
      </rPr>
      <t>Итого собственный капитал</t>
    </r>
  </si>
  <si>
    <r>
      <rPr>
        <b/>
        <sz val="10"/>
        <rFont val="Arial"/>
        <family val="2"/>
        <charset val="186"/>
      </rPr>
      <t>ИТОГО ПАССИВЫ</t>
    </r>
  </si>
  <si>
    <r>
      <rPr>
        <b/>
        <sz val="10"/>
        <rFont val="Arial"/>
        <family val="2"/>
        <charset val="186"/>
      </rPr>
      <t>Исходные данные по состоянию</t>
    </r>
  </si>
  <si>
    <r>
      <rPr>
        <sz val="10"/>
        <rFont val="Arial"/>
        <family val="2"/>
        <charset val="186"/>
      </rPr>
      <t xml:space="preserve">1 год </t>
    </r>
  </si>
  <si>
    <r>
      <rPr>
        <sz val="10"/>
        <rFont val="Arial"/>
        <family val="2"/>
        <charset val="186"/>
      </rPr>
      <t xml:space="preserve">2 год </t>
    </r>
  </si>
  <si>
    <r>
      <rPr>
        <sz val="10"/>
        <rFont val="Arial"/>
        <family val="2"/>
        <charset val="186"/>
      </rPr>
      <t xml:space="preserve">3 год </t>
    </r>
  </si>
  <si>
    <r>
      <rPr>
        <sz val="10"/>
        <rFont val="Arial"/>
        <family val="2"/>
        <charset val="186"/>
      </rPr>
      <t xml:space="preserve">4 год </t>
    </r>
  </si>
  <si>
    <r>
      <rPr>
        <sz val="10"/>
        <rFont val="Arial"/>
        <family val="2"/>
        <charset val="186"/>
      </rPr>
      <t>Число работников</t>
    </r>
  </si>
  <si>
    <r>
      <rPr>
        <b/>
        <sz val="12"/>
        <rFont val="Times New Roman"/>
        <family val="1"/>
        <charset val="186"/>
      </rPr>
      <t xml:space="preserve">ХОДАТАЙСТВО О СТАРТОВОМ ПОСОБИИ  </t>
    </r>
  </si>
  <si>
    <r>
      <rPr>
        <sz val="12"/>
        <color indexed="10"/>
        <rFont val="Times New Roman"/>
        <family val="1"/>
        <charset val="186"/>
      </rPr>
      <t>ЗАПОЛНЯЕТСЯ ПО ЖЕЛАНИЮ</t>
    </r>
  </si>
  <si>
    <r>
      <rPr>
        <b/>
        <sz val="12"/>
        <rFont val="Times New Roman"/>
        <family val="1"/>
        <charset val="186"/>
      </rPr>
      <t>ОБРАЗЕЦ БЮДЖЕТА ПРОЕКТА</t>
    </r>
  </si>
  <si>
    <r>
      <rPr>
        <sz val="11"/>
        <rFont val="Times New Roman"/>
        <family val="1"/>
        <charset val="186"/>
      </rPr>
      <t>№</t>
    </r>
  </si>
  <si>
    <r>
      <rPr>
        <sz val="11"/>
        <rFont val="Times New Roman"/>
        <family val="1"/>
        <charset val="186"/>
      </rPr>
      <t>Описание действий по видам расходов</t>
    </r>
  </si>
  <si>
    <r>
      <rPr>
        <sz val="11"/>
        <rFont val="Times New Roman"/>
        <family val="1"/>
        <charset val="186"/>
      </rPr>
      <t>Название</t>
    </r>
  </si>
  <si>
    <r>
      <rPr>
        <sz val="11"/>
        <rFont val="Times New Roman"/>
        <family val="1"/>
        <charset val="186"/>
      </rPr>
      <t>Имя лица, сделавшего ценовое предложение</t>
    </r>
  </si>
  <si>
    <r>
      <rPr>
        <sz val="11"/>
        <rFont val="Times New Roman"/>
        <family val="1"/>
        <charset val="186"/>
      </rPr>
      <t>Единица</t>
    </r>
  </si>
  <si>
    <r>
      <rPr>
        <sz val="11"/>
        <rFont val="Times New Roman"/>
        <family val="1"/>
        <charset val="186"/>
      </rPr>
      <t>Стоимость единицы</t>
    </r>
  </si>
  <si>
    <r>
      <rPr>
        <sz val="11"/>
        <color indexed="8"/>
        <rFont val="Times New Roman"/>
        <family val="1"/>
        <charset val="186"/>
      </rPr>
      <t>Стоимость</t>
    </r>
  </si>
  <si>
    <r>
      <rPr>
        <b/>
        <sz val="11"/>
        <rFont val="Times New Roman"/>
        <family val="1"/>
        <charset val="186"/>
      </rPr>
      <t>Расходы на приобретение машин, оборудования или иного основного материального имущества</t>
    </r>
  </si>
  <si>
    <r>
      <rPr>
        <sz val="11"/>
        <rFont val="Times New Roman"/>
        <family val="1"/>
        <charset val="186"/>
      </rPr>
      <t>1.1</t>
    </r>
  </si>
  <si>
    <r>
      <rPr>
        <sz val="11"/>
        <rFont val="Times New Roman"/>
        <family val="1"/>
        <charset val="186"/>
      </rPr>
      <t>Расход на приобретение новых основного материального имущества</t>
    </r>
  </si>
  <si>
    <r>
      <rPr>
        <sz val="11"/>
        <rFont val="Times New Roman"/>
        <family val="1"/>
        <charset val="186"/>
      </rPr>
      <t>Расходы на приобретение подержанного основного материального имущества</t>
    </r>
  </si>
  <si>
    <r>
      <rPr>
        <sz val="11"/>
        <rFont val="Times New Roman"/>
        <family val="1"/>
        <charset val="186"/>
      </rPr>
      <t>Расход на лизинг нового основного материального имущества типа аренды капитала</t>
    </r>
  </si>
  <si>
    <r>
      <rPr>
        <sz val="11"/>
        <rFont val="Times New Roman"/>
        <family val="1"/>
        <charset val="186"/>
      </rPr>
      <t>Расход на лизинг подержанного основного материального имущества типа аренды капитала</t>
    </r>
  </si>
  <si>
    <r>
      <rPr>
        <b/>
        <sz val="11"/>
        <rFont val="Times New Roman"/>
        <family val="1"/>
        <charset val="186"/>
      </rPr>
      <t>Расходы на транспортировку и наладку, связанные с приобретением основного материального имущества</t>
    </r>
  </si>
  <si>
    <r>
      <rPr>
        <sz val="11"/>
        <rFont val="Times New Roman"/>
        <family val="1"/>
        <charset val="186"/>
      </rPr>
      <t>Транспортные расходы</t>
    </r>
  </si>
  <si>
    <r>
      <rPr>
        <sz val="11"/>
        <rFont val="Times New Roman"/>
        <family val="1"/>
        <charset val="186"/>
      </rPr>
      <t>Расходы на наладку</t>
    </r>
  </si>
  <si>
    <r>
      <rPr>
        <sz val="11"/>
        <rFont val="Times New Roman"/>
        <family val="1"/>
        <charset val="186"/>
      </rPr>
      <t>Расходы на установку</t>
    </r>
  </si>
  <si>
    <r>
      <rPr>
        <b/>
        <sz val="11"/>
        <rFont val="Times New Roman"/>
        <family val="1"/>
        <charset val="186"/>
      </rPr>
      <t>Расходы на приобретение и развитие прикладного программного обеспечения</t>
    </r>
  </si>
  <si>
    <r>
      <rPr>
        <sz val="11"/>
        <rFont val="Times New Roman"/>
        <family val="1"/>
        <charset val="186"/>
      </rPr>
      <t>Расходы на приобретение прикладного программного обеспечения</t>
    </r>
  </si>
  <si>
    <r>
      <rPr>
        <sz val="11"/>
        <rFont val="Times New Roman"/>
        <family val="1"/>
        <charset val="186"/>
      </rPr>
      <t>Расходы на развитие прикладного программного обеспечения (программирование, внедрение, тестирование)</t>
    </r>
  </si>
  <si>
    <r>
      <rPr>
        <b/>
        <sz val="11"/>
        <rFont val="Times New Roman"/>
        <family val="1"/>
        <charset val="186"/>
      </rPr>
      <t>Расходы на проведение маркетинговой деятельности, необходимой для реализации целей бизнес-проекта</t>
    </r>
  </si>
  <si>
    <r>
      <rPr>
        <sz val="11"/>
        <rFont val="Times New Roman"/>
        <family val="1"/>
        <charset val="186"/>
      </rPr>
      <t>маркетинговые действия</t>
    </r>
  </si>
  <si>
    <r>
      <rPr>
        <b/>
        <sz val="11"/>
        <rFont val="Times New Roman"/>
        <family val="1"/>
        <charset val="186"/>
      </rPr>
      <t>Расходы на рабочую силу, необходимые для запуска и функционирования предприятия</t>
    </r>
  </si>
  <si>
    <r>
      <rPr>
        <sz val="11"/>
        <rFont val="Times New Roman"/>
        <family val="1"/>
        <charset val="186"/>
      </rPr>
      <t>Расходы на персонал</t>
    </r>
  </si>
  <si>
    <r>
      <rPr>
        <b/>
        <sz val="11"/>
        <color indexed="8"/>
        <rFont val="Times New Roman"/>
        <family val="1"/>
        <charset val="186"/>
      </rPr>
      <t>Итого стоимость проекта:</t>
    </r>
  </si>
  <si>
    <r>
      <rPr>
        <b/>
        <sz val="10"/>
        <rFont val="Arial"/>
        <family val="2"/>
        <charset val="186"/>
      </rPr>
      <t>Стартовое пособие</t>
    </r>
  </si>
  <si>
    <r>
      <rPr>
        <b/>
        <sz val="11"/>
        <rFont val="Times New Roman"/>
        <family val="1"/>
        <charset val="186"/>
      </rPr>
      <t>Сумма, о которой ходатайствуется в виде пособия</t>
    </r>
  </si>
  <si>
    <r>
      <rPr>
        <b/>
        <sz val="10"/>
        <rFont val="Arial"/>
        <family val="2"/>
        <charset val="186"/>
      </rPr>
      <t>предельная ставка</t>
    </r>
  </si>
  <si>
    <r>
      <rPr>
        <b/>
        <sz val="10"/>
        <rFont val="Arial"/>
        <family val="2"/>
        <charset val="186"/>
      </rPr>
      <t>макс. сумма пособия</t>
    </r>
  </si>
  <si>
    <r>
      <rPr>
        <b/>
        <sz val="11"/>
        <rFont val="Times New Roman"/>
        <family val="1"/>
        <charset val="186"/>
      </rPr>
      <t>Сумма собственного финансирования</t>
    </r>
  </si>
  <si>
    <r>
      <rPr>
        <b/>
        <sz val="10"/>
        <rFont val="Arial"/>
        <family val="2"/>
        <charset val="186"/>
      </rPr>
      <t>ЕВРО</t>
    </r>
  </si>
  <si>
    <r>
      <rPr>
        <b/>
        <sz val="10"/>
        <rFont val="Arial"/>
        <family val="2"/>
        <charset val="186"/>
      </rPr>
      <t xml:space="preserve">Примеры: </t>
    </r>
  </si>
  <si>
    <t xml:space="preserve">бюджет проекта стартового пособия </t>
  </si>
  <si>
    <t>евро</t>
  </si>
  <si>
    <t>сумма, о которой ходатайствуется в виде пособия</t>
  </si>
  <si>
    <t xml:space="preserve">собственное финансирование </t>
  </si>
  <si>
    <r>
      <rPr>
        <sz val="10"/>
        <rFont val="Arial"/>
        <family val="2"/>
        <charset val="186"/>
      </rPr>
      <t>** Если получатель пособия является субъектом налога с оборота, суммы следует указывать без налога с оборота</t>
    </r>
  </si>
  <si>
    <t>Нематериальные основные средства</t>
  </si>
  <si>
    <t>Основное материальное имущество, приобретенное с помощью целевого финансирования</t>
  </si>
  <si>
    <t>Основное имущество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</si>
  <si>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</si>
  <si>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</si>
  <si>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</si>
  <si>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</si>
  <si>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</si>
  <si>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</si>
  <si>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</si>
  <si>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</si>
  <si>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</si>
  <si>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</si>
  <si>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</si>
  <si>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</si>
  <si>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>2. Ввести на странице «</t>
    </r>
    <r>
      <rPr>
        <b/>
        <i/>
        <sz val="10"/>
        <color indexed="12"/>
        <rFont val="Arial"/>
        <family val="2"/>
        <charset val="186"/>
      </rPr>
      <t>Продукция</t>
    </r>
    <r>
      <rPr>
        <sz val="10"/>
        <rFont val="Arial"/>
        <family val="2"/>
        <charset val="186"/>
      </rPr>
      <t xml:space="preserve">» все необходимые данные! NB! </t>
    </r>
    <r>
      <rPr>
        <b/>
        <i/>
        <sz val="10"/>
        <color indexed="12"/>
        <rFont val="Arial"/>
        <family val="2"/>
        <charset val="186"/>
      </rPr>
      <t xml:space="preserve">Графы, заполненные синим, приведены в качестве образца, их можно менять! </t>
    </r>
  </si>
  <si>
    <r>
      <t>1. Заполнить на странице «</t>
    </r>
    <r>
      <rPr>
        <b/>
        <i/>
        <sz val="10"/>
        <color indexed="12"/>
        <rFont val="Arial"/>
        <family val="2"/>
        <charset val="186"/>
      </rPr>
      <t>Исходные данные</t>
    </r>
    <r>
      <rPr>
        <sz val="10"/>
        <rFont val="Arial"/>
        <family val="2"/>
        <charset val="186"/>
      </rPr>
      <t>» все необходимые графы, выделенные зеленым!</t>
    </r>
  </si>
  <si>
    <r>
      <t>4. Заполнить пустые графы на странице «</t>
    </r>
    <r>
      <rPr>
        <b/>
        <i/>
        <sz val="10"/>
        <color rgb="FF0000FF"/>
        <rFont val="Arial"/>
        <family val="2"/>
        <charset val="186"/>
      </rPr>
      <t>Кассовый денежный поток</t>
    </r>
    <r>
      <rPr>
        <sz val="10"/>
        <rFont val="Arial"/>
        <family val="2"/>
        <charset val="186"/>
      </rPr>
      <t xml:space="preserve">»! Здесь следует представить данные по </t>
    </r>
    <r>
      <rPr>
        <b/>
        <i/>
        <sz val="10"/>
        <color rgb="FF0000FF"/>
        <rFont val="Arial"/>
        <family val="2"/>
        <charset val="186"/>
      </rPr>
      <t>первому хозяйственному году проекта. Названия месяцев и годы менять нельзя</t>
    </r>
    <r>
      <rPr>
        <sz val="10"/>
        <rFont val="Arial"/>
        <family val="2"/>
        <charset val="186"/>
      </rPr>
      <t xml:space="preserve">. Если Ваш проект начинается, например, в октябре 2021 года, то предоставьте как файл с более подробным прогнозом на 2021 год, так и файл прогноза на 2022 год. Если деятельность начинается в начале 2022 года, то заполните и предоставьте файл прогноза на 2022 год. Просим сделать пояснение о прогнозах в бизнес-плане. Если Ваш проект начинается, например, в феврале 2022 года, то заполнение прогнозов начинайте с февраля 2022 года. 
</t>
    </r>
  </si>
  <si>
    <t>январь 2022</t>
  </si>
  <si>
    <t>февраль 2022</t>
  </si>
  <si>
    <t>март 2022</t>
  </si>
  <si>
    <t>апрель 2022</t>
  </si>
  <si>
    <t>май 2022</t>
  </si>
  <si>
    <t>июнь 2022</t>
  </si>
  <si>
    <t>июль 2022</t>
  </si>
  <si>
    <t>август 2022</t>
  </si>
  <si>
    <t>сентябрь 2022</t>
  </si>
  <si>
    <t>октябрь 2022</t>
  </si>
  <si>
    <t>ноябрь 2022</t>
  </si>
  <si>
    <t>декабрь 2022</t>
  </si>
  <si>
    <t>янв.2022</t>
  </si>
  <si>
    <t>февр.2022</t>
  </si>
  <si>
    <t>апр.2022</t>
  </si>
  <si>
    <t>авг.2022</t>
  </si>
  <si>
    <t>сент.2022</t>
  </si>
  <si>
    <t>окт.2022</t>
  </si>
  <si>
    <t>нояб.2022</t>
  </si>
  <si>
    <t>дек.2022</t>
  </si>
  <si>
    <r>
      <t>3. Заполнить на странице «</t>
    </r>
    <r>
      <rPr>
        <b/>
        <i/>
        <sz val="10"/>
        <color rgb="FF0000FF"/>
        <rFont val="Arial"/>
        <family val="2"/>
        <charset val="186"/>
      </rPr>
      <t>Баланс</t>
    </r>
    <r>
      <rPr>
        <sz val="10"/>
        <rFont val="Arial"/>
        <family val="2"/>
        <charset val="186"/>
      </rPr>
      <t>» колонку за прошлый период деятельности (B), если хозяйственная деятельность осуществлялась до 2022 года, данные за 2022 год  просим заполнять в соответствии с текущей экономической деятельностью.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</si>
</sst>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r_-;\-* #,##0.00\ _k_r_-;_-* &quot;-&quot;??\ _k_r_-;_-@_-"/>
    <numFmt numFmtId="165" formatCode="mmm/yyyy"/>
    <numFmt numFmtId="166" formatCode="#,##0\ &quot;kr&quot;"/>
    <numFmt numFmtId="167" formatCode="&quot;Kokku &quot;\&amp;\A\2"/>
    <numFmt numFmtId="168" formatCode="mmmm"/>
    <numFmt numFmtId="169" formatCode="dd\.mm\.yy;@"/>
  </numFmts>
  <fonts count="70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  <charset val="186"/>
    </font>
    <font>
      <b/>
      <sz val="10"/>
      <color indexed="12"/>
      <name val="Arial"/>
      <family val="2"/>
      <charset val="186"/>
    </font>
    <font>
      <b/>
      <sz val="10"/>
      <color indexed="12"/>
      <name val="Arial"/>
      <family val="2"/>
    </font>
    <font>
      <i/>
      <sz val="8"/>
      <color indexed="19"/>
      <name val="Arial"/>
      <family val="2"/>
    </font>
    <font>
      <sz val="10"/>
      <name val="Arial"/>
      <family val="2"/>
      <charset val="186"/>
    </font>
    <font>
      <sz val="10"/>
      <color indexed="10"/>
      <name val="Arial"/>
      <family val="2"/>
      <charset val="186"/>
    </font>
    <font>
      <b/>
      <u/>
      <sz val="10"/>
      <name val="Arial"/>
      <family val="2"/>
      <charset val="186"/>
    </font>
    <font>
      <sz val="8"/>
      <color indexed="9"/>
      <name val="Arial"/>
      <family val="2"/>
    </font>
    <font>
      <i/>
      <sz val="8"/>
      <color indexed="10"/>
      <name val="Arial"/>
      <family val="2"/>
    </font>
    <font>
      <b/>
      <i/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61"/>
      <name val="Arial"/>
      <family val="2"/>
    </font>
    <font>
      <b/>
      <i/>
      <sz val="8"/>
      <color indexed="60"/>
      <name val="Arial"/>
      <family val="2"/>
    </font>
    <font>
      <i/>
      <sz val="10"/>
      <name val="Arial"/>
      <family val="2"/>
      <charset val="186"/>
    </font>
    <font>
      <u/>
      <sz val="10"/>
      <name val="Arial"/>
      <family val="2"/>
      <charset val="186"/>
    </font>
    <font>
      <b/>
      <i/>
      <sz val="10"/>
      <color indexed="12"/>
      <name val="Arial"/>
      <family val="2"/>
      <charset val="186"/>
    </font>
    <font>
      <sz val="10"/>
      <color indexed="12"/>
      <name val="Arial"/>
      <family val="2"/>
      <charset val="186"/>
    </font>
    <font>
      <i/>
      <sz val="10"/>
      <color indexed="12"/>
      <name val="Arial"/>
      <family val="2"/>
      <charset val="186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b/>
      <i/>
      <sz val="12"/>
      <color indexed="10"/>
      <name val="Arial"/>
      <family val="2"/>
      <charset val="186"/>
    </font>
    <font>
      <i/>
      <sz val="8"/>
      <color indexed="45"/>
      <name val="Arial"/>
      <family val="2"/>
    </font>
    <font>
      <i/>
      <sz val="8"/>
      <name val="Arial"/>
      <family val="2"/>
      <charset val="186"/>
    </font>
    <font>
      <b/>
      <i/>
      <sz val="8"/>
      <color indexed="12"/>
      <name val="Arial"/>
      <family val="2"/>
      <charset val="186"/>
    </font>
    <font>
      <sz val="8"/>
      <color indexed="81"/>
      <name val="Tahoma"/>
      <family val="2"/>
      <charset val="186"/>
    </font>
    <font>
      <b/>
      <i/>
      <sz val="8"/>
      <color indexed="9"/>
      <name val="Arial"/>
      <family val="2"/>
    </font>
    <font>
      <sz val="8"/>
      <color indexed="10"/>
      <name val="Arial"/>
      <family val="2"/>
      <charset val="186"/>
    </font>
    <font>
      <sz val="8"/>
      <color indexed="9"/>
      <name val="Arial"/>
      <family val="2"/>
      <charset val="186"/>
    </font>
    <font>
      <b/>
      <sz val="8"/>
      <color indexed="12"/>
      <name val="Arial"/>
      <family val="2"/>
      <charset val="186"/>
    </font>
    <font>
      <sz val="9"/>
      <name val="Arial"/>
      <family val="2"/>
      <charset val="186"/>
    </font>
    <font>
      <sz val="8"/>
      <color indexed="60"/>
      <name val="Arial"/>
      <family val="2"/>
      <charset val="186"/>
    </font>
    <font>
      <sz val="8"/>
      <color indexed="10"/>
      <name val="Tahoma"/>
      <family val="2"/>
      <charset val="186"/>
    </font>
    <font>
      <b/>
      <sz val="8"/>
      <color indexed="10"/>
      <name val="Arial"/>
      <family val="2"/>
      <charset val="186"/>
    </font>
    <font>
      <b/>
      <sz val="8"/>
      <color indexed="12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18"/>
      <color indexed="56"/>
      <name val="Cambria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0"/>
      <color indexed="55"/>
      <name val="Arial"/>
      <family val="2"/>
    </font>
    <font>
      <b/>
      <i/>
      <sz val="8"/>
      <color theme="4" tint="-0.499984740745262"/>
      <name val="Arial"/>
      <family val="2"/>
      <charset val="186"/>
    </font>
    <font>
      <b/>
      <sz val="8"/>
      <color rgb="FF6600FF"/>
      <name val="Arial"/>
      <family val="2"/>
    </font>
    <font>
      <b/>
      <i/>
      <sz val="8"/>
      <color rgb="FF002060"/>
      <name val="Arial"/>
      <family val="2"/>
      <charset val="186"/>
    </font>
    <font>
      <b/>
      <sz val="8"/>
      <color rgb="FFFF0000"/>
      <name val="Arial"/>
      <family val="2"/>
    </font>
    <font>
      <sz val="10"/>
      <color rgb="FFFF0000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0"/>
      <color theme="0" tint="-0.34998626667073579"/>
      <name val="Arial"/>
      <family val="2"/>
    </font>
    <font>
      <b/>
      <i/>
      <sz val="10"/>
      <name val="Arial"/>
      <family val="2"/>
      <charset val="186"/>
    </font>
    <font>
      <b/>
      <sz val="11"/>
      <color indexed="12"/>
      <name val="Arial"/>
      <family val="2"/>
      <charset val="186"/>
    </font>
    <font>
      <b/>
      <sz val="12"/>
      <color indexed="10"/>
      <name val="Tahoma"/>
      <family val="2"/>
      <charset val="186"/>
    </font>
    <font>
      <b/>
      <i/>
      <sz val="10"/>
      <color rgb="FF0000FF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0"/>
      </bottom>
      <diagonal/>
    </border>
    <border>
      <left style="thin">
        <color indexed="64"/>
      </left>
      <right style="thick">
        <color indexed="6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0"/>
      </right>
      <top style="thin">
        <color indexed="64"/>
      </top>
      <bottom style="thick">
        <color indexed="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0"/>
      </right>
      <top style="thick">
        <color indexed="6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n">
        <color indexed="64"/>
      </top>
      <bottom style="thick">
        <color indexed="60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3" fillId="0" borderId="0"/>
    <xf numFmtId="9" fontId="1" fillId="0" borderId="0" applyFont="0" applyFill="0" applyBorder="0" applyAlignment="0" applyProtection="0"/>
  </cellStyleXfs>
  <cellXfs count="394">
    <xf numFmtId="0" fontId="0" fillId="0" borderId="0" xfId="0"/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2" borderId="0" xfId="0" applyFill="1" applyAlignment="1" applyProtection="1">
      <alignment horizontal="center"/>
      <protection locked="0"/>
    </xf>
    <xf numFmtId="0" fontId="27" fillId="0" borderId="0" xfId="0" applyFont="1" applyProtection="1"/>
    <xf numFmtId="1" fontId="0" fillId="2" borderId="0" xfId="0" applyNumberFormat="1" applyFill="1" applyAlignment="1" applyProtection="1">
      <alignment horizontal="center"/>
      <protection locked="0"/>
    </xf>
    <xf numFmtId="0" fontId="0" fillId="0" borderId="0" xfId="0" applyFill="1" applyProtection="1"/>
    <xf numFmtId="1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0" xfId="0" applyFill="1"/>
    <xf numFmtId="166" fontId="0" fillId="0" borderId="0" xfId="0" applyNumberFormat="1" applyAlignment="1" applyProtection="1">
      <alignment horizontal="center"/>
    </xf>
    <xf numFmtId="166" fontId="0" fillId="0" borderId="0" xfId="0" applyNumberFormat="1" applyProtection="1"/>
    <xf numFmtId="0" fontId="2" fillId="0" borderId="1" xfId="0" applyFont="1" applyBorder="1" applyAlignment="1">
      <alignment wrapText="1"/>
    </xf>
    <xf numFmtId="165" fontId="2" fillId="0" borderId="1" xfId="0" applyNumberFormat="1" applyFont="1" applyBorder="1"/>
    <xf numFmtId="1" fontId="2" fillId="0" borderId="1" xfId="0" applyNumberFormat="1" applyFont="1" applyBorder="1" applyProtection="1"/>
    <xf numFmtId="1" fontId="2" fillId="0" borderId="1" xfId="0" applyNumberFormat="1" applyFont="1" applyBorder="1"/>
    <xf numFmtId="0" fontId="2" fillId="0" borderId="0" xfId="0" applyFont="1" applyBorder="1"/>
    <xf numFmtId="0" fontId="34" fillId="0" borderId="0" xfId="0" applyFont="1" applyBorder="1"/>
    <xf numFmtId="165" fontId="34" fillId="0" borderId="0" xfId="0" applyNumberFormat="1" applyFont="1" applyBorder="1"/>
    <xf numFmtId="1" fontId="34" fillId="0" borderId="0" xfId="0" applyNumberFormat="1" applyFont="1" applyBorder="1"/>
    <xf numFmtId="0" fontId="2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3" fontId="2" fillId="3" borderId="1" xfId="0" applyNumberFormat="1" applyFont="1" applyFill="1" applyBorder="1"/>
    <xf numFmtId="3" fontId="2" fillId="3" borderId="1" xfId="0" applyNumberFormat="1" applyFont="1" applyFill="1" applyBorder="1" applyProtection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3" fontId="2" fillId="3" borderId="2" xfId="0" applyNumberFormat="1" applyFont="1" applyFill="1" applyBorder="1"/>
    <xf numFmtId="3" fontId="2" fillId="3" borderId="2" xfId="0" applyNumberFormat="1" applyFont="1" applyFill="1" applyBorder="1" applyProtection="1"/>
    <xf numFmtId="0" fontId="2" fillId="0" borderId="3" xfId="0" applyFont="1" applyFill="1" applyBorder="1" applyAlignment="1">
      <alignment wrapText="1"/>
    </xf>
    <xf numFmtId="0" fontId="2" fillId="0" borderId="0" xfId="0" applyFont="1" applyFill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9" fontId="35" fillId="0" borderId="4" xfId="0" applyNumberFormat="1" applyFont="1" applyFill="1" applyBorder="1" applyAlignment="1" applyProtection="1">
      <alignment horizontal="center"/>
      <protection locked="0"/>
    </xf>
    <xf numFmtId="167" fontId="2" fillId="2" borderId="4" xfId="0" applyNumberFormat="1" applyFont="1" applyFill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9" fontId="35" fillId="4" borderId="4" xfId="0" applyNumberFormat="1" applyFont="1" applyFill="1" applyBorder="1" applyAlignment="1" applyProtection="1">
      <alignment horizontal="center"/>
      <protection locked="0"/>
    </xf>
    <xf numFmtId="9" fontId="35" fillId="0" borderId="4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2" fillId="0" borderId="0" xfId="0" applyFont="1" applyProtection="1"/>
    <xf numFmtId="0" fontId="37" fillId="5" borderId="1" xfId="0" applyFont="1" applyFill="1" applyBorder="1" applyAlignment="1">
      <alignment wrapText="1"/>
    </xf>
    <xf numFmtId="3" fontId="37" fillId="5" borderId="1" xfId="0" applyNumberFormat="1" applyFont="1" applyFill="1" applyBorder="1"/>
    <xf numFmtId="3" fontId="37" fillId="5" borderId="2" xfId="0" applyNumberFormat="1" applyFont="1" applyFill="1" applyBorder="1"/>
    <xf numFmtId="3" fontId="37" fillId="5" borderId="3" xfId="0" applyNumberFormat="1" applyFont="1" applyFill="1" applyBorder="1"/>
    <xf numFmtId="9" fontId="37" fillId="5" borderId="1" xfId="0" applyNumberFormat="1" applyFont="1" applyFill="1" applyBorder="1"/>
    <xf numFmtId="3" fontId="37" fillId="5" borderId="4" xfId="0" applyNumberFormat="1" applyFont="1" applyFill="1" applyBorder="1"/>
    <xf numFmtId="0" fontId="37" fillId="0" borderId="0" xfId="0" applyFont="1" applyFill="1"/>
    <xf numFmtId="0" fontId="0" fillId="8" borderId="1" xfId="0" applyFill="1" applyBorder="1"/>
    <xf numFmtId="4" fontId="2" fillId="0" borderId="3" xfId="0" applyNumberFormat="1" applyFont="1" applyFill="1" applyBorder="1" applyProtection="1">
      <protection locked="0"/>
    </xf>
    <xf numFmtId="4" fontId="2" fillId="0" borderId="1" xfId="0" applyNumberFormat="1" applyFont="1" applyFill="1" applyBorder="1" applyProtection="1">
      <protection locked="0"/>
    </xf>
    <xf numFmtId="4" fontId="2" fillId="0" borderId="1" xfId="0" applyNumberFormat="1" applyFont="1" applyFill="1" applyBorder="1" applyProtection="1"/>
    <xf numFmtId="4" fontId="2" fillId="0" borderId="5" xfId="0" applyNumberFormat="1" applyFont="1" applyFill="1" applyBorder="1" applyProtection="1">
      <protection locked="0"/>
    </xf>
    <xf numFmtId="4" fontId="2" fillId="2" borderId="4" xfId="0" applyNumberFormat="1" applyFont="1" applyFill="1" applyBorder="1"/>
    <xf numFmtId="4" fontId="2" fillId="2" borderId="4" xfId="0" applyNumberFormat="1" applyFont="1" applyFill="1" applyBorder="1" applyProtection="1"/>
    <xf numFmtId="4" fontId="2" fillId="2" borderId="6" xfId="0" applyNumberFormat="1" applyFont="1" applyFill="1" applyBorder="1"/>
    <xf numFmtId="4" fontId="2" fillId="0" borderId="1" xfId="0" applyNumberFormat="1" applyFont="1" applyBorder="1" applyProtection="1">
      <protection locked="0"/>
    </xf>
    <xf numFmtId="4" fontId="2" fillId="0" borderId="1" xfId="0" applyNumberFormat="1" applyFont="1" applyBorder="1" applyProtection="1"/>
    <xf numFmtId="4" fontId="2" fillId="0" borderId="5" xfId="0" applyNumberFormat="1" applyFont="1" applyBorder="1" applyProtection="1">
      <protection locked="0"/>
    </xf>
    <xf numFmtId="4" fontId="4" fillId="6" borderId="0" xfId="0" applyNumberFormat="1" applyFont="1" applyFill="1" applyBorder="1" applyAlignment="1" applyProtection="1">
      <alignment horizontal="right"/>
    </xf>
    <xf numFmtId="4" fontId="4" fillId="6" borderId="0" xfId="0" applyNumberFormat="1" applyFont="1" applyFill="1"/>
    <xf numFmtId="4" fontId="15" fillId="6" borderId="0" xfId="0" applyNumberFormat="1" applyFont="1" applyFill="1" applyAlignment="1" applyProtection="1">
      <alignment horizontal="left" wrapText="1"/>
    </xf>
    <xf numFmtId="4" fontId="28" fillId="6" borderId="0" xfId="0" applyNumberFormat="1" applyFont="1" applyFill="1" applyAlignment="1" applyProtection="1">
      <alignment horizontal="right"/>
    </xf>
    <xf numFmtId="4" fontId="28" fillId="6" borderId="0" xfId="0" applyNumberFormat="1" applyFont="1" applyFill="1" applyBorder="1" applyAlignment="1" applyProtection="1">
      <alignment horizontal="right"/>
    </xf>
    <xf numFmtId="4" fontId="28" fillId="6" borderId="0" xfId="0" applyNumberFormat="1" applyFont="1" applyFill="1"/>
    <xf numFmtId="4" fontId="30" fillId="0" borderId="1" xfId="0" applyNumberFormat="1" applyFont="1" applyBorder="1" applyAlignment="1" applyProtection="1">
      <alignment horizontal="right"/>
    </xf>
    <xf numFmtId="4" fontId="16" fillId="0" borderId="1" xfId="1" applyNumberFormat="1" applyFont="1" applyFill="1" applyBorder="1" applyAlignment="1" applyProtection="1">
      <alignment horizontal="right"/>
      <protection hidden="1"/>
    </xf>
    <xf numFmtId="4" fontId="16" fillId="0" borderId="1" xfId="0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Border="1"/>
    <xf numFmtId="4" fontId="6" fillId="6" borderId="0" xfId="0" applyNumberFormat="1" applyFont="1" applyFill="1" applyBorder="1" applyProtection="1"/>
    <xf numFmtId="4" fontId="4" fillId="0" borderId="0" xfId="0" applyNumberFormat="1" applyFont="1" applyBorder="1" applyAlignment="1" applyProtection="1">
      <alignment horizontal="right"/>
    </xf>
    <xf numFmtId="4" fontId="4" fillId="6" borderId="0" xfId="1" applyNumberFormat="1" applyFont="1" applyFill="1" applyBorder="1" applyAlignment="1" applyProtection="1">
      <alignment horizontal="right"/>
    </xf>
    <xf numFmtId="4" fontId="14" fillId="6" borderId="0" xfId="0" applyNumberFormat="1" applyFont="1" applyFill="1" applyBorder="1" applyProtection="1"/>
    <xf numFmtId="4" fontId="14" fillId="6" borderId="0" xfId="0" applyNumberFormat="1" applyFont="1" applyFill="1" applyBorder="1" applyAlignment="1" applyProtection="1">
      <alignment horizontal="right"/>
    </xf>
    <xf numFmtId="4" fontId="14" fillId="6" borderId="0" xfId="0" applyNumberFormat="1" applyFont="1" applyFill="1" applyBorder="1"/>
    <xf numFmtId="4" fontId="4" fillId="6" borderId="1" xfId="0" applyNumberFormat="1" applyFont="1" applyFill="1" applyBorder="1" applyAlignment="1" applyProtection="1">
      <alignment horizontal="left" indent="3"/>
    </xf>
    <xf numFmtId="4" fontId="16" fillId="6" borderId="2" xfId="1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Border="1" applyAlignment="1">
      <alignment horizontal="left" indent="1"/>
    </xf>
    <xf numFmtId="4" fontId="29" fillId="6" borderId="7" xfId="0" applyNumberFormat="1" applyFont="1" applyFill="1" applyBorder="1" applyAlignment="1" applyProtection="1">
      <alignment horizontal="left" indent="6"/>
    </xf>
    <xf numFmtId="4" fontId="4" fillId="6" borderId="7" xfId="0" applyNumberFormat="1" applyFont="1" applyFill="1" applyBorder="1" applyAlignment="1" applyProtection="1">
      <alignment horizontal="left" indent="8"/>
    </xf>
    <xf numFmtId="4" fontId="30" fillId="6" borderId="1" xfId="1" applyNumberFormat="1" applyFont="1" applyFill="1" applyBorder="1" applyAlignment="1" applyProtection="1">
      <alignment horizontal="right"/>
      <protection hidden="1"/>
    </xf>
    <xf numFmtId="4" fontId="10" fillId="6" borderId="0" xfId="0" applyNumberFormat="1" applyFont="1" applyFill="1" applyBorder="1" applyAlignment="1" applyProtection="1">
      <alignment horizontal="left" indent="8"/>
    </xf>
    <xf numFmtId="4" fontId="10" fillId="6" borderId="0" xfId="1" applyNumberFormat="1" applyFont="1" applyFill="1" applyBorder="1" applyAlignment="1" applyProtection="1">
      <alignment horizontal="right"/>
    </xf>
    <xf numFmtId="4" fontId="10" fillId="6" borderId="0" xfId="0" applyNumberFormat="1" applyFont="1" applyFill="1" applyBorder="1" applyAlignment="1">
      <alignment horizontal="left" indent="1"/>
    </xf>
    <xf numFmtId="4" fontId="18" fillId="6" borderId="0" xfId="0" applyNumberFormat="1" applyFont="1" applyFill="1" applyBorder="1" applyProtection="1"/>
    <xf numFmtId="4" fontId="16" fillId="6" borderId="1" xfId="1" applyNumberFormat="1" applyFont="1" applyFill="1" applyBorder="1" applyAlignment="1" applyProtection="1">
      <alignment horizontal="right"/>
      <protection hidden="1"/>
    </xf>
    <xf numFmtId="4" fontId="29" fillId="6" borderId="1" xfId="0" applyNumberFormat="1" applyFont="1" applyFill="1" applyBorder="1" applyAlignment="1" applyProtection="1">
      <alignment horizontal="left" indent="6"/>
    </xf>
    <xf numFmtId="4" fontId="4" fillId="6" borderId="1" xfId="1" applyNumberFormat="1" applyFont="1" applyFill="1" applyBorder="1" applyAlignment="1" applyProtection="1">
      <alignment horizontal="right"/>
      <protection locked="0"/>
    </xf>
    <xf numFmtId="4" fontId="19" fillId="6" borderId="1" xfId="0" applyNumberFormat="1" applyFont="1" applyFill="1" applyBorder="1" applyAlignment="1" applyProtection="1">
      <alignment horizontal="left" indent="2"/>
    </xf>
    <xf numFmtId="4" fontId="4" fillId="0" borderId="1" xfId="0" applyNumberFormat="1" applyFont="1" applyBorder="1" applyAlignment="1" applyProtection="1">
      <alignment horizontal="right"/>
      <protection locked="0"/>
    </xf>
    <xf numFmtId="4" fontId="4" fillId="6" borderId="1" xfId="0" applyNumberFormat="1" applyFont="1" applyFill="1" applyBorder="1" applyAlignment="1" applyProtection="1">
      <alignment horizontal="left" wrapText="1" indent="3"/>
    </xf>
    <xf numFmtId="4" fontId="6" fillId="6" borderId="1" xfId="0" applyNumberFormat="1" applyFont="1" applyFill="1" applyBorder="1" applyAlignment="1" applyProtection="1">
      <alignment horizontal="left" indent="3"/>
    </xf>
    <xf numFmtId="4" fontId="6" fillId="6" borderId="0" xfId="0" applyNumberFormat="1" applyFont="1" applyFill="1" applyBorder="1" applyAlignment="1">
      <alignment horizontal="left" indent="1"/>
    </xf>
    <xf numFmtId="4" fontId="6" fillId="6" borderId="0" xfId="0" applyNumberFormat="1" applyFont="1" applyFill="1" applyBorder="1" applyAlignment="1" applyProtection="1">
      <alignment horizontal="left" indent="2"/>
    </xf>
    <xf numFmtId="4" fontId="6" fillId="6" borderId="0" xfId="1" applyNumberFormat="1" applyFont="1" applyFill="1" applyBorder="1" applyAlignment="1" applyProtection="1">
      <alignment horizontal="right"/>
    </xf>
    <xf numFmtId="4" fontId="6" fillId="6" borderId="0" xfId="0" applyNumberFormat="1" applyFont="1" applyFill="1"/>
    <xf numFmtId="4" fontId="17" fillId="6" borderId="0" xfId="0" applyNumberFormat="1" applyFont="1" applyFill="1" applyBorder="1" applyProtection="1"/>
    <xf numFmtId="4" fontId="2" fillId="6" borderId="1" xfId="0" applyNumberFormat="1" applyFont="1" applyFill="1" applyBorder="1" applyAlignment="1" applyProtection="1">
      <alignment horizontal="left" wrapText="1" indent="3"/>
    </xf>
    <xf numFmtId="4" fontId="42" fillId="6" borderId="0" xfId="0" applyNumberFormat="1" applyFont="1" applyFill="1" applyBorder="1" applyAlignment="1" applyProtection="1">
      <alignment horizontal="left" wrapText="1"/>
    </xf>
    <xf numFmtId="4" fontId="4" fillId="6" borderId="0" xfId="1" applyNumberFormat="1" applyFont="1" applyFill="1" applyBorder="1" applyAlignment="1" applyProtection="1">
      <alignment horizontal="right"/>
      <protection locked="0"/>
    </xf>
    <xf numFmtId="4" fontId="59" fillId="6" borderId="1" xfId="1" applyNumberFormat="1" applyFont="1" applyFill="1" applyBorder="1" applyAlignment="1" applyProtection="1">
      <alignment horizontal="right"/>
    </xf>
    <xf numFmtId="4" fontId="4" fillId="6" borderId="0" xfId="0" applyNumberFormat="1" applyFont="1" applyFill="1" applyBorder="1" applyAlignment="1" applyProtection="1">
      <alignment horizontal="left" indent="2"/>
    </xf>
    <xf numFmtId="4" fontId="17" fillId="6" borderId="0" xfId="0" applyNumberFormat="1" applyFont="1" applyFill="1" applyBorder="1" applyAlignment="1" applyProtection="1">
      <alignment horizontal="left"/>
    </xf>
    <xf numFmtId="4" fontId="16" fillId="6" borderId="8" xfId="1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Border="1" applyAlignment="1" applyProtection="1">
      <alignment horizontal="left" indent="3"/>
    </xf>
    <xf numFmtId="4" fontId="6" fillId="6" borderId="0" xfId="0" applyNumberFormat="1" applyFont="1" applyFill="1" applyBorder="1" applyAlignment="1" applyProtection="1">
      <alignment horizontal="left"/>
    </xf>
    <xf numFmtId="4" fontId="60" fillId="6" borderId="0" xfId="0" applyNumberFormat="1" applyFont="1" applyFill="1" applyBorder="1" applyAlignment="1" applyProtection="1">
      <alignment horizontal="left" indent="1"/>
      <protection locked="0"/>
    </xf>
    <xf numFmtId="4" fontId="61" fillId="6" borderId="1" xfId="1" applyNumberFormat="1" applyFont="1" applyFill="1" applyBorder="1" applyAlignment="1" applyProtection="1">
      <alignment horizontal="right"/>
    </xf>
    <xf numFmtId="4" fontId="6" fillId="6" borderId="0" xfId="0" applyNumberFormat="1" applyFont="1" applyFill="1" applyBorder="1" applyAlignment="1" applyProtection="1">
      <alignment horizontal="left" indent="1"/>
    </xf>
    <xf numFmtId="4" fontId="4" fillId="0" borderId="1" xfId="0" applyNumberFormat="1" applyFont="1" applyFill="1" applyBorder="1" applyAlignment="1" applyProtection="1">
      <alignment horizontal="left" indent="3"/>
    </xf>
    <xf numFmtId="4" fontId="4" fillId="0" borderId="1" xfId="1" applyNumberFormat="1" applyFont="1" applyFill="1" applyBorder="1" applyAlignment="1" applyProtection="1">
      <alignment horizontal="right"/>
      <protection locked="0"/>
    </xf>
    <xf numFmtId="4" fontId="4" fillId="0" borderId="0" xfId="0" applyNumberFormat="1" applyFont="1" applyFill="1"/>
    <xf numFmtId="4" fontId="4" fillId="6" borderId="1" xfId="1" applyNumberFormat="1" applyFont="1" applyFill="1" applyBorder="1" applyAlignment="1" applyProtection="1">
      <alignment horizontal="right"/>
    </xf>
    <xf numFmtId="4" fontId="17" fillId="0" borderId="0" xfId="0" applyNumberFormat="1" applyFont="1" applyFill="1" applyBorder="1" applyAlignment="1" applyProtection="1">
      <alignment horizontal="left"/>
    </xf>
    <xf numFmtId="4" fontId="4" fillId="6" borderId="0" xfId="0" applyNumberFormat="1" applyFont="1" applyFill="1" applyAlignment="1" applyProtection="1">
      <alignment horizontal="right"/>
    </xf>
    <xf numFmtId="4" fontId="4" fillId="6" borderId="0" xfId="0" applyNumberFormat="1" applyFont="1" applyFill="1" applyAlignment="1" applyProtection="1">
      <alignment horizontal="right"/>
      <protection locked="0"/>
    </xf>
    <xf numFmtId="4" fontId="4" fillId="0" borderId="1" xfId="1" applyNumberFormat="1" applyFont="1" applyFill="1" applyBorder="1" applyAlignment="1" applyProtection="1">
      <alignment horizontal="right"/>
    </xf>
    <xf numFmtId="4" fontId="4" fillId="0" borderId="9" xfId="0" applyNumberFormat="1" applyFont="1" applyFill="1" applyBorder="1" applyProtection="1">
      <protection locked="0"/>
    </xf>
    <xf numFmtId="4" fontId="30" fillId="6" borderId="1" xfId="1" applyNumberFormat="1" applyFont="1" applyFill="1" applyBorder="1" applyAlignment="1" applyProtection="1">
      <alignment horizontal="right"/>
      <protection locked="0"/>
    </xf>
    <xf numFmtId="4" fontId="6" fillId="6" borderId="1" xfId="0" applyNumberFormat="1" applyFont="1" applyFill="1" applyBorder="1" applyAlignment="1" applyProtection="1">
      <alignment horizontal="left"/>
    </xf>
    <xf numFmtId="4" fontId="6" fillId="6" borderId="0" xfId="0" applyNumberFormat="1" applyFont="1" applyFill="1" applyBorder="1"/>
    <xf numFmtId="4" fontId="30" fillId="6" borderId="0" xfId="1" applyNumberFormat="1" applyFont="1" applyFill="1" applyBorder="1" applyAlignment="1" applyProtection="1">
      <alignment horizontal="right"/>
      <protection hidden="1"/>
    </xf>
    <xf numFmtId="4" fontId="16" fillId="7" borderId="1" xfId="1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Border="1" applyAlignment="1">
      <alignment horizontal="right"/>
    </xf>
    <xf numFmtId="4" fontId="14" fillId="6" borderId="0" xfId="0" applyNumberFormat="1" applyFont="1" applyFill="1" applyBorder="1" applyAlignment="1" applyProtection="1">
      <alignment horizontal="right"/>
      <protection hidden="1"/>
    </xf>
    <xf numFmtId="4" fontId="33" fillId="6" borderId="0" xfId="0" applyNumberFormat="1" applyFont="1" applyFill="1" applyBorder="1" applyAlignment="1">
      <alignment horizontal="left"/>
    </xf>
    <xf numFmtId="4" fontId="4" fillId="6" borderId="0" xfId="0" applyNumberFormat="1" applyFont="1" applyFill="1" applyBorder="1" applyAlignment="1">
      <alignment horizontal="left"/>
    </xf>
    <xf numFmtId="4" fontId="4" fillId="6" borderId="0" xfId="0" applyNumberFormat="1" applyFont="1" applyFill="1" applyAlignment="1">
      <alignment horizontal="right"/>
    </xf>
    <xf numFmtId="4" fontId="4" fillId="6" borderId="0" xfId="0" applyNumberFormat="1" applyFont="1" applyFill="1" applyProtection="1">
      <protection hidden="1"/>
    </xf>
    <xf numFmtId="4" fontId="4" fillId="6" borderId="0" xfId="0" applyNumberFormat="1" applyFont="1" applyFill="1" applyAlignment="1" applyProtection="1">
      <alignment horizontal="right"/>
      <protection hidden="1"/>
    </xf>
    <xf numFmtId="4" fontId="5" fillId="6" borderId="0" xfId="0" applyNumberFormat="1" applyFont="1" applyFill="1" applyAlignment="1" applyProtection="1">
      <alignment horizontal="left"/>
    </xf>
    <xf numFmtId="4" fontId="0" fillId="0" borderId="0" xfId="0" applyNumberFormat="1"/>
    <xf numFmtId="4" fontId="9" fillId="6" borderId="0" xfId="0" applyNumberFormat="1" applyFont="1" applyFill="1" applyBorder="1" applyProtection="1"/>
    <xf numFmtId="4" fontId="3" fillId="6" borderId="1" xfId="0" applyNumberFormat="1" applyFont="1" applyFill="1" applyBorder="1" applyAlignment="1" applyProtection="1">
      <alignment horizontal="left" indent="3"/>
    </xf>
    <xf numFmtId="4" fontId="24" fillId="6" borderId="1" xfId="0" applyNumberFormat="1" applyFont="1" applyFill="1" applyBorder="1" applyAlignment="1" applyProtection="1">
      <alignment horizontal="left" indent="6"/>
    </xf>
    <xf numFmtId="4" fontId="24" fillId="6" borderId="1" xfId="0" applyNumberFormat="1" applyFont="1" applyFill="1" applyBorder="1" applyAlignment="1" applyProtection="1">
      <alignment horizontal="left" indent="8"/>
    </xf>
    <xf numFmtId="4" fontId="5" fillId="6" borderId="1" xfId="0" applyNumberFormat="1" applyFont="1" applyFill="1" applyBorder="1" applyAlignment="1" applyProtection="1">
      <alignment horizontal="left" indent="3"/>
    </xf>
    <xf numFmtId="4" fontId="5" fillId="6" borderId="0" xfId="0" applyNumberFormat="1" applyFont="1" applyFill="1" applyBorder="1" applyAlignment="1" applyProtection="1">
      <alignment horizontal="left" indent="3"/>
    </xf>
    <xf numFmtId="4" fontId="36" fillId="6" borderId="0" xfId="0" applyNumberFormat="1" applyFont="1" applyFill="1" applyBorder="1" applyAlignment="1" applyProtection="1">
      <alignment horizontal="left" indent="3"/>
    </xf>
    <xf numFmtId="4" fontId="8" fillId="6" borderId="0" xfId="0" applyNumberFormat="1" applyFont="1" applyFill="1" applyBorder="1" applyAlignment="1" applyProtection="1">
      <alignment horizontal="left"/>
    </xf>
    <xf numFmtId="4" fontId="7" fillId="6" borderId="0" xfId="0" applyNumberFormat="1" applyFont="1" applyFill="1" applyBorder="1" applyProtection="1"/>
    <xf numFmtId="4" fontId="3" fillId="6" borderId="7" xfId="0" applyNumberFormat="1" applyFont="1" applyFill="1" applyBorder="1" applyAlignment="1" applyProtection="1">
      <alignment horizontal="left" indent="3"/>
    </xf>
    <xf numFmtId="4" fontId="3" fillId="6" borderId="0" xfId="0" applyNumberFormat="1" applyFont="1" applyFill="1" applyBorder="1" applyAlignment="1" applyProtection="1">
      <alignment horizontal="left" indent="2"/>
    </xf>
    <xf numFmtId="4" fontId="7" fillId="6" borderId="0" xfId="0" applyNumberFormat="1" applyFont="1" applyFill="1" applyBorder="1" applyAlignment="1" applyProtection="1">
      <alignment horizontal="left"/>
    </xf>
    <xf numFmtId="4" fontId="7" fillId="6" borderId="0" xfId="0" applyNumberFormat="1" applyFont="1" applyFill="1" applyBorder="1" applyAlignment="1" applyProtection="1">
      <alignment horizontal="left" indent="1"/>
    </xf>
    <xf numFmtId="4" fontId="3" fillId="0" borderId="1" xfId="0" applyNumberFormat="1" applyFont="1" applyFill="1" applyBorder="1" applyAlignment="1" applyProtection="1">
      <alignment horizontal="left" indent="3"/>
    </xf>
    <xf numFmtId="4" fontId="7" fillId="6" borderId="1" xfId="0" applyNumberFormat="1" applyFont="1" applyFill="1" applyBorder="1" applyAlignment="1" applyProtection="1">
      <alignment horizontal="left" indent="2"/>
    </xf>
    <xf numFmtId="4" fontId="5" fillId="6" borderId="1" xfId="0" applyNumberFormat="1" applyFont="1" applyFill="1" applyBorder="1" applyAlignment="1" applyProtection="1">
      <alignment horizontal="left"/>
    </xf>
    <xf numFmtId="4" fontId="5" fillId="6" borderId="0" xfId="0" applyNumberFormat="1" applyFont="1" applyFill="1" applyBorder="1" applyAlignment="1" applyProtection="1">
      <alignment horizontal="left"/>
    </xf>
    <xf numFmtId="4" fontId="3" fillId="6" borderId="0" xfId="0" applyNumberFormat="1" applyFont="1" applyFill="1"/>
    <xf numFmtId="4" fontId="7" fillId="0" borderId="0" xfId="0" applyNumberFormat="1" applyFont="1" applyBorder="1" applyAlignment="1">
      <alignment horizontal="left" indent="1"/>
    </xf>
    <xf numFmtId="4" fontId="11" fillId="0" borderId="0" xfId="0" applyNumberFormat="1" applyFont="1"/>
    <xf numFmtId="4" fontId="11" fillId="0" borderId="0" xfId="0" applyNumberFormat="1" applyFont="1" applyBorder="1" applyAlignment="1">
      <alignment horizontal="right"/>
    </xf>
    <xf numFmtId="4" fontId="11" fillId="0" borderId="0" xfId="1" applyNumberFormat="1" applyFont="1" applyBorder="1"/>
    <xf numFmtId="4" fontId="7" fillId="0" borderId="0" xfId="0" applyNumberFormat="1" applyFont="1" applyBorder="1" applyAlignment="1">
      <alignment horizontal="right"/>
    </xf>
    <xf numFmtId="4" fontId="11" fillId="0" borderId="0" xfId="0" applyNumberFormat="1" applyFont="1" applyAlignment="1">
      <alignment horizontal="right"/>
    </xf>
    <xf numFmtId="9" fontId="2" fillId="0" borderId="1" xfId="0" applyNumberFormat="1" applyFont="1" applyFill="1" applyBorder="1" applyProtection="1">
      <protection locked="0"/>
    </xf>
    <xf numFmtId="9" fontId="2" fillId="0" borderId="1" xfId="0" applyNumberFormat="1" applyFont="1" applyFill="1" applyBorder="1" applyProtection="1"/>
    <xf numFmtId="9" fontId="2" fillId="0" borderId="5" xfId="0" applyNumberFormat="1" applyFont="1" applyFill="1" applyBorder="1" applyProtection="1">
      <protection locked="0"/>
    </xf>
    <xf numFmtId="1" fontId="6" fillId="6" borderId="0" xfId="1" applyNumberFormat="1" applyFont="1" applyFill="1" applyBorder="1" applyAlignment="1" applyProtection="1">
      <alignment horizontal="right"/>
    </xf>
    <xf numFmtId="1" fontId="4" fillId="6" borderId="0" xfId="1" applyNumberFormat="1" applyFont="1" applyFill="1" applyBorder="1" applyAlignment="1" applyProtection="1">
      <alignment horizontal="right"/>
    </xf>
    <xf numFmtId="1" fontId="17" fillId="6" borderId="0" xfId="1" applyNumberFormat="1" applyFont="1" applyFill="1" applyBorder="1" applyAlignment="1" applyProtection="1">
      <alignment horizontal="right"/>
      <protection hidden="1"/>
    </xf>
    <xf numFmtId="1" fontId="4" fillId="6" borderId="0" xfId="0" applyNumberFormat="1" applyFont="1" applyFill="1" applyAlignment="1">
      <alignment horizontal="right"/>
    </xf>
    <xf numFmtId="1" fontId="7" fillId="0" borderId="10" xfId="0" applyNumberFormat="1" applyFont="1" applyFill="1" applyBorder="1" applyAlignment="1">
      <alignment horizontal="left" indent="1"/>
    </xf>
    <xf numFmtId="1" fontId="7" fillId="0" borderId="0" xfId="0" applyNumberFormat="1" applyFont="1" applyBorder="1" applyAlignment="1">
      <alignment horizontal="left" indent="1"/>
    </xf>
    <xf numFmtId="1" fontId="7" fillId="0" borderId="0" xfId="0" applyNumberFormat="1" applyFont="1" applyBorder="1" applyAlignment="1">
      <alignment horizontal="right"/>
    </xf>
    <xf numFmtId="1" fontId="11" fillId="0" borderId="0" xfId="1" applyNumberFormat="1" applyFont="1" applyBorder="1"/>
    <xf numFmtId="1" fontId="7" fillId="0" borderId="0" xfId="1" applyNumberFormat="1" applyFont="1" applyBorder="1"/>
    <xf numFmtId="1" fontId="11" fillId="0" borderId="0" xfId="0" applyNumberFormat="1" applyFont="1" applyBorder="1" applyAlignment="1">
      <alignment horizontal="right"/>
    </xf>
    <xf numFmtId="1" fontId="21" fillId="0" borderId="0" xfId="0" applyNumberFormat="1" applyFont="1" applyBorder="1" applyAlignment="1">
      <alignment horizontal="left" indent="1"/>
    </xf>
    <xf numFmtId="1" fontId="21" fillId="0" borderId="0" xfId="0" applyNumberFormat="1" applyFont="1" applyBorder="1" applyAlignment="1">
      <alignment horizontal="right"/>
    </xf>
    <xf numFmtId="1" fontId="7" fillId="0" borderId="10" xfId="0" applyNumberFormat="1" applyFont="1" applyBorder="1" applyAlignment="1">
      <alignment horizontal="left" indent="1"/>
    </xf>
    <xf numFmtId="1" fontId="13" fillId="0" borderId="0" xfId="0" applyNumberFormat="1" applyFont="1" applyBorder="1" applyAlignment="1">
      <alignment horizontal="left" indent="1"/>
    </xf>
    <xf numFmtId="1" fontId="13" fillId="0" borderId="0" xfId="0" applyNumberFormat="1" applyFont="1" applyBorder="1" applyAlignment="1">
      <alignment horizontal="right"/>
    </xf>
    <xf numFmtId="9" fontId="4" fillId="6" borderId="0" xfId="3" applyNumberFormat="1" applyFont="1" applyFill="1" applyAlignment="1">
      <alignment horizontal="right"/>
    </xf>
    <xf numFmtId="14" fontId="6" fillId="6" borderId="0" xfId="0" applyNumberFormat="1" applyFont="1" applyFill="1" applyAlignment="1" applyProtection="1">
      <alignment horizontal="left"/>
    </xf>
    <xf numFmtId="14" fontId="4" fillId="6" borderId="0" xfId="0" applyNumberFormat="1" applyFont="1" applyFill="1"/>
    <xf numFmtId="165" fontId="4" fillId="6" borderId="0" xfId="0" applyNumberFormat="1" applyFont="1" applyFill="1" applyBorder="1" applyAlignment="1" applyProtection="1">
      <alignment horizontal="right"/>
    </xf>
    <xf numFmtId="3" fontId="25" fillId="6" borderId="1" xfId="1" applyNumberFormat="1" applyFont="1" applyFill="1" applyBorder="1" applyAlignment="1" applyProtection="1">
      <alignment horizontal="right"/>
      <protection hidden="1"/>
    </xf>
    <xf numFmtId="3" fontId="26" fillId="6" borderId="1" xfId="1" applyNumberFormat="1" applyFont="1" applyFill="1" applyBorder="1" applyAlignment="1" applyProtection="1">
      <alignment horizontal="right"/>
      <protection hidden="1"/>
    </xf>
    <xf numFmtId="3" fontId="17" fillId="6" borderId="1" xfId="1" applyNumberFormat="1" applyFont="1" applyFill="1" applyBorder="1" applyAlignment="1" applyProtection="1">
      <alignment horizontal="right"/>
      <protection hidden="1"/>
    </xf>
    <xf numFmtId="3" fontId="25" fillId="6" borderId="2" xfId="1" applyNumberFormat="1" applyFont="1" applyFill="1" applyBorder="1" applyAlignment="1" applyProtection="1">
      <alignment horizontal="right"/>
      <protection hidden="1"/>
    </xf>
    <xf numFmtId="3" fontId="4" fillId="6" borderId="0" xfId="1" applyNumberFormat="1" applyFont="1" applyFill="1" applyBorder="1" applyAlignment="1" applyProtection="1">
      <alignment horizontal="right"/>
    </xf>
    <xf numFmtId="3" fontId="25" fillId="6" borderId="11" xfId="1" applyNumberFormat="1" applyFont="1" applyFill="1" applyBorder="1" applyAlignment="1" applyProtection="1">
      <alignment horizontal="right"/>
      <protection hidden="1"/>
    </xf>
    <xf numFmtId="3" fontId="25" fillId="6" borderId="12" xfId="1" applyNumberFormat="1" applyFont="1" applyFill="1" applyBorder="1" applyAlignment="1" applyProtection="1">
      <alignment horizontal="right"/>
      <protection hidden="1"/>
    </xf>
    <xf numFmtId="3" fontId="40" fillId="6" borderId="2" xfId="1" applyNumberFormat="1" applyFont="1" applyFill="1" applyBorder="1" applyAlignment="1" applyProtection="1">
      <alignment horizontal="right"/>
      <protection hidden="1"/>
    </xf>
    <xf numFmtId="3" fontId="41" fillId="6" borderId="0" xfId="1" applyNumberFormat="1" applyFont="1" applyFill="1" applyBorder="1" applyAlignment="1" applyProtection="1">
      <alignment horizontal="right"/>
    </xf>
    <xf numFmtId="3" fontId="6" fillId="6" borderId="0" xfId="1" applyNumberFormat="1" applyFont="1" applyFill="1" applyBorder="1" applyAlignment="1" applyProtection="1">
      <alignment horizontal="right"/>
    </xf>
    <xf numFmtId="3" fontId="11" fillId="0" borderId="10" xfId="0" applyNumberFormat="1" applyFont="1" applyBorder="1" applyAlignment="1" applyProtection="1">
      <alignment horizontal="right"/>
      <protection locked="0"/>
    </xf>
    <xf numFmtId="3" fontId="23" fillId="0" borderId="10" xfId="1" applyNumberFormat="1" applyFont="1" applyBorder="1" applyProtection="1">
      <protection hidden="1"/>
    </xf>
    <xf numFmtId="3" fontId="11" fillId="0" borderId="10" xfId="1" applyNumberFormat="1" applyFont="1" applyBorder="1" applyProtection="1">
      <protection locked="0"/>
    </xf>
    <xf numFmtId="3" fontId="8" fillId="0" borderId="10" xfId="1" applyNumberFormat="1" applyFont="1" applyBorder="1" applyAlignment="1" applyProtection="1">
      <alignment horizontal="right"/>
      <protection hidden="1"/>
    </xf>
    <xf numFmtId="3" fontId="8" fillId="0" borderId="10" xfId="1" applyNumberFormat="1" applyFont="1" applyBorder="1" applyProtection="1">
      <protection hidden="1"/>
    </xf>
    <xf numFmtId="3" fontId="20" fillId="0" borderId="10" xfId="0" applyNumberFormat="1" applyFont="1" applyFill="1" applyBorder="1" applyAlignment="1">
      <alignment horizontal="right"/>
    </xf>
    <xf numFmtId="3" fontId="24" fillId="0" borderId="10" xfId="1" applyNumberFormat="1" applyFont="1" applyBorder="1" applyProtection="1">
      <protection hidden="1"/>
    </xf>
    <xf numFmtId="3" fontId="20" fillId="0" borderId="10" xfId="0" applyNumberFormat="1" applyFont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1" fillId="0" borderId="0" xfId="1" applyNumberFormat="1" applyFont="1" applyBorder="1"/>
    <xf numFmtId="3" fontId="8" fillId="0" borderId="0" xfId="1" applyNumberFormat="1" applyFont="1" applyBorder="1" applyAlignment="1" applyProtection="1">
      <alignment horizontal="right"/>
      <protection hidden="1"/>
    </xf>
    <xf numFmtId="3" fontId="8" fillId="0" borderId="0" xfId="1" applyNumberFormat="1" applyFont="1" applyBorder="1" applyProtection="1">
      <protection hidden="1"/>
    </xf>
    <xf numFmtId="3" fontId="21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169" fontId="7" fillId="0" borderId="0" xfId="0" applyNumberFormat="1" applyFont="1" applyBorder="1" applyAlignment="1">
      <alignment horizontal="center" wrapText="1"/>
    </xf>
    <xf numFmtId="169" fontId="7" fillId="0" borderId="0" xfId="0" applyNumberFormat="1" applyFont="1" applyBorder="1" applyAlignment="1" applyProtection="1">
      <alignment horizontal="center"/>
      <protection locked="0"/>
    </xf>
    <xf numFmtId="17" fontId="4" fillId="0" borderId="1" xfId="0" applyNumberFormat="1" applyFont="1" applyBorder="1" applyProtection="1"/>
    <xf numFmtId="4" fontId="4" fillId="6" borderId="0" xfId="0" applyNumberFormat="1" applyFont="1" applyFill="1" applyProtection="1"/>
    <xf numFmtId="3" fontId="11" fillId="0" borderId="10" xfId="0" applyNumberFormat="1" applyFont="1" applyBorder="1" applyAlignment="1" applyProtection="1">
      <alignment horizontal="right"/>
    </xf>
    <xf numFmtId="1" fontId="4" fillId="6" borderId="0" xfId="0" applyNumberFormat="1" applyFont="1" applyFill="1" applyBorder="1" applyAlignment="1" applyProtection="1">
      <alignment horizontal="right"/>
    </xf>
    <xf numFmtId="1" fontId="4" fillId="0" borderId="1" xfId="0" applyNumberFormat="1" applyFont="1" applyBorder="1" applyAlignment="1" applyProtection="1">
      <alignment horizontal="center"/>
    </xf>
    <xf numFmtId="1" fontId="28" fillId="6" borderId="0" xfId="0" applyNumberFormat="1" applyFont="1" applyFill="1" applyBorder="1" applyAlignment="1" applyProtection="1">
      <alignment horizontal="right"/>
    </xf>
    <xf numFmtId="1" fontId="16" fillId="0" borderId="1" xfId="0" applyNumberFormat="1" applyFont="1" applyFill="1" applyBorder="1" applyAlignment="1" applyProtection="1">
      <alignment horizontal="right"/>
      <protection hidden="1"/>
    </xf>
    <xf numFmtId="1" fontId="14" fillId="6" borderId="0" xfId="0" applyNumberFormat="1" applyFont="1" applyFill="1" applyBorder="1" applyAlignment="1" applyProtection="1">
      <alignment horizontal="right"/>
    </xf>
    <xf numFmtId="1" fontId="16" fillId="6" borderId="2" xfId="1" applyNumberFormat="1" applyFont="1" applyFill="1" applyBorder="1" applyAlignment="1" applyProtection="1">
      <alignment horizontal="right"/>
      <protection hidden="1"/>
    </xf>
    <xf numFmtId="1" fontId="30" fillId="6" borderId="1" xfId="1" applyNumberFormat="1" applyFont="1" applyFill="1" applyBorder="1" applyAlignment="1" applyProtection="1">
      <alignment horizontal="right"/>
      <protection hidden="1"/>
    </xf>
    <xf numFmtId="1" fontId="10" fillId="6" borderId="0" xfId="1" applyNumberFormat="1" applyFont="1" applyFill="1" applyBorder="1" applyAlignment="1" applyProtection="1">
      <alignment horizontal="right"/>
    </xf>
    <xf numFmtId="1" fontId="16" fillId="6" borderId="1" xfId="1" applyNumberFormat="1" applyFont="1" applyFill="1" applyBorder="1" applyAlignment="1" applyProtection="1">
      <alignment horizontal="right"/>
      <protection hidden="1"/>
    </xf>
    <xf numFmtId="1" fontId="4" fillId="6" borderId="1" xfId="1" applyNumberFormat="1" applyFont="1" applyFill="1" applyBorder="1" applyAlignment="1" applyProtection="1">
      <alignment horizontal="right"/>
      <protection locked="0"/>
    </xf>
    <xf numFmtId="1" fontId="4" fillId="6" borderId="0" xfId="1" applyNumberFormat="1" applyFont="1" applyFill="1" applyBorder="1" applyAlignment="1" applyProtection="1">
      <alignment horizontal="right"/>
      <protection locked="0"/>
    </xf>
    <xf numFmtId="1" fontId="16" fillId="6" borderId="1" xfId="1" applyNumberFormat="1" applyFont="1" applyFill="1" applyBorder="1" applyAlignment="1" applyProtection="1">
      <alignment horizontal="right"/>
    </xf>
    <xf numFmtId="1" fontId="16" fillId="6" borderId="8" xfId="1" applyNumberFormat="1" applyFont="1" applyFill="1" applyBorder="1" applyAlignment="1" applyProtection="1">
      <alignment horizontal="right"/>
      <protection hidden="1"/>
    </xf>
    <xf numFmtId="1" fontId="61" fillId="6" borderId="1" xfId="1" applyNumberFormat="1" applyFont="1" applyFill="1" applyBorder="1" applyAlignment="1" applyProtection="1">
      <alignment horizontal="right"/>
    </xf>
    <xf numFmtId="1" fontId="4" fillId="6" borderId="0" xfId="0" applyNumberFormat="1" applyFont="1" applyFill="1" applyAlignment="1" applyProtection="1">
      <alignment horizontal="right"/>
      <protection locked="0"/>
    </xf>
    <xf numFmtId="1" fontId="4" fillId="6" borderId="7" xfId="1" applyNumberFormat="1" applyFont="1" applyFill="1" applyBorder="1" applyAlignment="1" applyProtection="1">
      <alignment horizontal="right"/>
      <protection locked="0"/>
    </xf>
    <xf numFmtId="1" fontId="4" fillId="6" borderId="0" xfId="0" applyNumberFormat="1" applyFont="1" applyFill="1" applyBorder="1" applyAlignment="1">
      <alignment horizontal="right"/>
    </xf>
    <xf numFmtId="1" fontId="4" fillId="6" borderId="0" xfId="0" applyNumberFormat="1" applyFont="1" applyFill="1" applyBorder="1"/>
    <xf numFmtId="1" fontId="4" fillId="6" borderId="0" xfId="0" applyNumberFormat="1" applyFont="1" applyFill="1"/>
    <xf numFmtId="1" fontId="4" fillId="6" borderId="0" xfId="0" applyNumberFormat="1" applyFont="1" applyFill="1" applyAlignment="1" applyProtection="1">
      <alignment horizontal="right"/>
      <protection hidden="1"/>
    </xf>
    <xf numFmtId="1" fontId="32" fillId="6" borderId="2" xfId="1" applyNumberFormat="1" applyFont="1" applyFill="1" applyBorder="1" applyAlignment="1" applyProtection="1">
      <alignment horizontal="right"/>
      <protection hidden="1"/>
    </xf>
    <xf numFmtId="1" fontId="16" fillId="6" borderId="0" xfId="1" applyNumberFormat="1" applyFont="1" applyFill="1" applyBorder="1" applyAlignment="1" applyProtection="1">
      <alignment horizontal="right"/>
      <protection hidden="1"/>
    </xf>
    <xf numFmtId="1" fontId="4" fillId="6" borderId="0" xfId="0" applyNumberFormat="1" applyFont="1" applyFill="1" applyAlignment="1" applyProtection="1">
      <alignment horizontal="right"/>
    </xf>
    <xf numFmtId="1" fontId="16" fillId="6" borderId="0" xfId="1" applyNumberFormat="1" applyFont="1" applyFill="1" applyBorder="1" applyAlignment="1" applyProtection="1">
      <alignment horizontal="right"/>
    </xf>
    <xf numFmtId="3" fontId="2" fillId="0" borderId="3" xfId="0" applyNumberFormat="1" applyFont="1" applyFill="1" applyBorder="1" applyProtection="1">
      <protection locked="0"/>
    </xf>
    <xf numFmtId="3" fontId="2" fillId="0" borderId="3" xfId="0" applyNumberFormat="1" applyFont="1" applyFill="1" applyBorder="1" applyProtection="1"/>
    <xf numFmtId="3" fontId="2" fillId="0" borderId="13" xfId="0" applyNumberFormat="1" applyFont="1" applyFill="1" applyBorder="1" applyProtection="1">
      <protection locked="0"/>
    </xf>
    <xf numFmtId="1" fontId="2" fillId="0" borderId="3" xfId="0" applyNumberFormat="1" applyFont="1" applyFill="1" applyBorder="1" applyProtection="1">
      <protection locked="0"/>
    </xf>
    <xf numFmtId="1" fontId="2" fillId="0" borderId="3" xfId="0" applyNumberFormat="1" applyFont="1" applyFill="1" applyBorder="1" applyProtection="1"/>
    <xf numFmtId="1" fontId="2" fillId="0" borderId="13" xfId="0" applyNumberFormat="1" applyFont="1" applyFill="1" applyBorder="1" applyProtection="1">
      <protection locked="0"/>
    </xf>
    <xf numFmtId="3" fontId="2" fillId="0" borderId="3" xfId="0" applyNumberFormat="1" applyFont="1" applyBorder="1" applyProtection="1">
      <protection locked="0"/>
    </xf>
    <xf numFmtId="3" fontId="2" fillId="0" borderId="3" xfId="0" applyNumberFormat="1" applyFont="1" applyBorder="1" applyProtection="1"/>
    <xf numFmtId="3" fontId="2" fillId="0" borderId="13" xfId="0" applyNumberFormat="1" applyFont="1" applyBorder="1" applyProtection="1">
      <protection locked="0"/>
    </xf>
    <xf numFmtId="1" fontId="2" fillId="0" borderId="3" xfId="0" applyNumberFormat="1" applyFont="1" applyBorder="1" applyProtection="1">
      <protection locked="0"/>
    </xf>
    <xf numFmtId="1" fontId="2" fillId="0" borderId="3" xfId="0" applyNumberFormat="1" applyFont="1" applyBorder="1" applyProtection="1"/>
    <xf numFmtId="1" fontId="2" fillId="0" borderId="13" xfId="0" applyNumberFormat="1" applyFont="1" applyBorder="1" applyProtection="1">
      <protection locked="0"/>
    </xf>
    <xf numFmtId="1" fontId="2" fillId="0" borderId="0" xfId="0" applyNumberFormat="1" applyFont="1"/>
    <xf numFmtId="0" fontId="1" fillId="0" borderId="0" xfId="0" applyFont="1" applyAlignment="1">
      <alignment wrapText="1"/>
    </xf>
    <xf numFmtId="9" fontId="62" fillId="6" borderId="0" xfId="3" applyFont="1" applyFill="1" applyBorder="1" applyAlignment="1" applyProtection="1">
      <alignment horizontal="right"/>
    </xf>
    <xf numFmtId="9" fontId="25" fillId="6" borderId="1" xfId="1" applyNumberFormat="1" applyFont="1" applyFill="1" applyBorder="1" applyAlignment="1" applyProtection="1">
      <alignment horizontal="right"/>
      <protection hidden="1"/>
    </xf>
    <xf numFmtId="9" fontId="30" fillId="6" borderId="2" xfId="1" applyNumberFormat="1" applyFont="1" applyFill="1" applyBorder="1" applyAlignment="1" applyProtection="1">
      <alignment horizontal="right"/>
      <protection hidden="1"/>
    </xf>
    <xf numFmtId="0" fontId="44" fillId="0" borderId="0" xfId="2" applyFont="1" applyBorder="1" applyAlignment="1">
      <alignment horizontal="left" vertical="top"/>
    </xf>
    <xf numFmtId="0" fontId="44" fillId="0" borderId="0" xfId="2" applyFont="1" applyBorder="1" applyAlignment="1">
      <alignment horizontal="center" vertical="top"/>
    </xf>
    <xf numFmtId="0" fontId="45" fillId="0" borderId="0" xfId="0" applyFont="1" applyAlignment="1"/>
    <xf numFmtId="0" fontId="44" fillId="0" borderId="14" xfId="2" applyFont="1" applyBorder="1" applyAlignment="1">
      <alignment horizontal="left" vertical="top"/>
    </xf>
    <xf numFmtId="0" fontId="45" fillId="0" borderId="14" xfId="0" applyFont="1" applyBorder="1" applyAlignment="1">
      <alignment horizontal="center" vertical="top"/>
    </xf>
    <xf numFmtId="0" fontId="45" fillId="0" borderId="14" xfId="0" applyFont="1" applyBorder="1" applyAlignment="1">
      <alignment horizontal="center"/>
    </xf>
    <xf numFmtId="0" fontId="46" fillId="9" borderId="15" xfId="0" applyFont="1" applyFill="1" applyBorder="1" applyAlignment="1" applyProtection="1">
      <alignment horizontal="center" vertical="center"/>
      <protection locked="0"/>
    </xf>
    <xf numFmtId="0" fontId="46" fillId="9" borderId="16" xfId="0" applyFont="1" applyFill="1" applyBorder="1" applyAlignment="1" applyProtection="1">
      <alignment horizontal="center" vertical="center" wrapText="1"/>
      <protection locked="0"/>
    </xf>
    <xf numFmtId="0" fontId="47" fillId="9" borderId="17" xfId="0" applyFont="1" applyFill="1" applyBorder="1" applyAlignment="1" applyProtection="1">
      <alignment horizontal="center" vertical="center" wrapText="1"/>
      <protection locked="0"/>
    </xf>
    <xf numFmtId="0" fontId="48" fillId="0" borderId="18" xfId="0" applyFont="1" applyBorder="1" applyAlignment="1">
      <alignment horizontal="center"/>
    </xf>
    <xf numFmtId="0" fontId="48" fillId="6" borderId="1" xfId="0" applyFont="1" applyFill="1" applyBorder="1" applyAlignment="1">
      <alignment horizontal="center" vertical="center" wrapText="1"/>
    </xf>
    <xf numFmtId="0" fontId="48" fillId="6" borderId="7" xfId="0" applyFont="1" applyFill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50" fillId="9" borderId="20" xfId="0" applyFont="1" applyFill="1" applyBorder="1" applyAlignment="1" applyProtection="1">
      <alignment horizontal="center" vertical="center"/>
      <protection locked="0"/>
    </xf>
    <xf numFmtId="0" fontId="50" fillId="9" borderId="7" xfId="0" applyFont="1" applyFill="1" applyBorder="1" applyAlignment="1" applyProtection="1">
      <alignment horizontal="left" vertical="center" wrapText="1"/>
      <protection locked="0"/>
    </xf>
    <xf numFmtId="3" fontId="51" fillId="9" borderId="1" xfId="0" applyNumberFormat="1" applyFont="1" applyFill="1" applyBorder="1" applyAlignment="1" applyProtection="1">
      <alignment wrapText="1"/>
      <protection locked="0"/>
    </xf>
    <xf numFmtId="4" fontId="50" fillId="9" borderId="1" xfId="0" applyNumberFormat="1" applyFont="1" applyFill="1" applyBorder="1" applyAlignment="1" applyProtection="1">
      <alignment wrapText="1"/>
      <protection locked="0"/>
    </xf>
    <xf numFmtId="0" fontId="52" fillId="9" borderId="19" xfId="0" applyFont="1" applyFill="1" applyBorder="1" applyAlignment="1" applyProtection="1">
      <alignment wrapText="1"/>
      <protection locked="0"/>
    </xf>
    <xf numFmtId="16" fontId="46" fillId="0" borderId="20" xfId="0" applyNumberFormat="1" applyFont="1" applyBorder="1" applyAlignment="1">
      <alignment horizontal="center" vertical="center" wrapText="1"/>
    </xf>
    <xf numFmtId="0" fontId="46" fillId="0" borderId="7" xfId="0" applyFont="1" applyFill="1" applyBorder="1" applyAlignment="1">
      <alignment horizontal="left" wrapText="1"/>
    </xf>
    <xf numFmtId="3" fontId="53" fillId="0" borderId="1" xfId="0" applyNumberFormat="1" applyFont="1" applyBorder="1" applyAlignment="1">
      <alignment wrapText="1"/>
    </xf>
    <xf numFmtId="4" fontId="53" fillId="0" borderId="7" xfId="0" applyNumberFormat="1" applyFont="1" applyBorder="1" applyAlignment="1">
      <alignment wrapText="1"/>
    </xf>
    <xf numFmtId="0" fontId="54" fillId="0" borderId="19" xfId="0" applyFont="1" applyBorder="1" applyAlignment="1">
      <alignment wrapText="1"/>
    </xf>
    <xf numFmtId="16" fontId="46" fillId="0" borderId="20" xfId="0" applyNumberFormat="1" applyFont="1" applyBorder="1" applyAlignment="1">
      <alignment horizontal="center" vertical="center"/>
    </xf>
    <xf numFmtId="4" fontId="53" fillId="0" borderId="1" xfId="0" applyNumberFormat="1" applyFont="1" applyBorder="1" applyAlignment="1">
      <alignment wrapText="1"/>
    </xf>
    <xf numFmtId="0" fontId="46" fillId="0" borderId="7" xfId="0" applyFont="1" applyBorder="1" applyAlignment="1">
      <alignment horizontal="left" wrapText="1"/>
    </xf>
    <xf numFmtId="3" fontId="51" fillId="9" borderId="1" xfId="0" applyNumberFormat="1" applyFont="1" applyFill="1" applyBorder="1" applyAlignment="1">
      <alignment wrapText="1"/>
    </xf>
    <xf numFmtId="4" fontId="50" fillId="9" borderId="1" xfId="0" applyNumberFormat="1" applyFont="1" applyFill="1" applyBorder="1" applyAlignment="1">
      <alignment wrapText="1"/>
    </xf>
    <xf numFmtId="16" fontId="50" fillId="9" borderId="20" xfId="0" applyNumberFormat="1" applyFont="1" applyFill="1" applyBorder="1" applyAlignment="1">
      <alignment horizontal="center" vertical="center"/>
    </xf>
    <xf numFmtId="0" fontId="50" fillId="9" borderId="7" xfId="0" applyFont="1" applyFill="1" applyBorder="1" applyAlignment="1">
      <alignment horizontal="left" vertical="center" wrapText="1"/>
    </xf>
    <xf numFmtId="0" fontId="50" fillId="9" borderId="20" xfId="0" applyFont="1" applyFill="1" applyBorder="1" applyAlignment="1">
      <alignment horizontal="center" vertical="center"/>
    </xf>
    <xf numFmtId="16" fontId="46" fillId="0" borderId="20" xfId="0" applyNumberFormat="1" applyFont="1" applyFill="1" applyBorder="1" applyAlignment="1">
      <alignment horizontal="center" vertical="center"/>
    </xf>
    <xf numFmtId="0" fontId="54" fillId="9" borderId="21" xfId="0" applyFont="1" applyFill="1" applyBorder="1" applyProtection="1">
      <protection locked="0"/>
    </xf>
    <xf numFmtId="0" fontId="55" fillId="9" borderId="22" xfId="0" applyFont="1" applyFill="1" applyBorder="1" applyAlignment="1" applyProtection="1">
      <alignment horizontal="right" wrapText="1"/>
      <protection locked="0"/>
    </xf>
    <xf numFmtId="0" fontId="50" fillId="9" borderId="22" xfId="0" applyFont="1" applyFill="1" applyBorder="1" applyAlignment="1" applyProtection="1">
      <alignment horizontal="right" wrapText="1"/>
      <protection locked="0"/>
    </xf>
    <xf numFmtId="4" fontId="50" fillId="9" borderId="23" xfId="0" applyNumberFormat="1" applyFont="1" applyFill="1" applyBorder="1" applyAlignment="1">
      <alignment horizontal="right" wrapText="1"/>
    </xf>
    <xf numFmtId="0" fontId="52" fillId="0" borderId="0" xfId="0" applyFont="1"/>
    <xf numFmtId="0" fontId="52" fillId="0" borderId="0" xfId="0" applyFont="1" applyAlignment="1">
      <alignment wrapText="1"/>
    </xf>
    <xf numFmtId="0" fontId="51" fillId="0" borderId="0" xfId="0" applyFont="1" applyAlignment="1">
      <alignment wrapText="1"/>
    </xf>
    <xf numFmtId="0" fontId="56" fillId="0" borderId="0" xfId="0" applyFont="1"/>
    <xf numFmtId="0" fontId="50" fillId="0" borderId="0" xfId="0" applyFont="1" applyFill="1" applyBorder="1" applyAlignment="1" applyProtection="1">
      <alignment horizontal="right" vertical="center"/>
      <protection locked="0"/>
    </xf>
    <xf numFmtId="4" fontId="50" fillId="10" borderId="11" xfId="0" applyNumberFormat="1" applyFont="1" applyFill="1" applyBorder="1" applyAlignment="1">
      <alignment horizontal="right" wrapText="1"/>
    </xf>
    <xf numFmtId="4" fontId="50" fillId="10" borderId="1" xfId="0" applyNumberFormat="1" applyFont="1" applyFill="1" applyBorder="1" applyAlignment="1">
      <alignment horizontal="right" wrapText="1"/>
    </xf>
    <xf numFmtId="0" fontId="46" fillId="9" borderId="24" xfId="0" applyFont="1" applyFill="1" applyBorder="1" applyAlignment="1" applyProtection="1">
      <alignment horizontal="center" vertical="center" wrapText="1"/>
      <protection locked="0"/>
    </xf>
    <xf numFmtId="0" fontId="48" fillId="0" borderId="11" xfId="0" applyFont="1" applyBorder="1" applyAlignment="1">
      <alignment horizontal="center" vertical="center" wrapText="1"/>
    </xf>
    <xf numFmtId="0" fontId="46" fillId="9" borderId="9" xfId="0" applyFont="1" applyFill="1" applyBorder="1" applyAlignment="1" applyProtection="1">
      <alignment horizontal="center" vertical="center" wrapText="1"/>
      <protection locked="0"/>
    </xf>
    <xf numFmtId="0" fontId="52" fillId="9" borderId="23" xfId="0" applyFont="1" applyFill="1" applyBorder="1" applyAlignment="1" applyProtection="1">
      <alignment wrapText="1"/>
      <protection locked="0"/>
    </xf>
    <xf numFmtId="10" fontId="50" fillId="10" borderId="25" xfId="0" applyNumberFormat="1" applyFont="1" applyFill="1" applyBorder="1" applyAlignment="1"/>
    <xf numFmtId="10" fontId="50" fillId="10" borderId="7" xfId="0" applyNumberFormat="1" applyFont="1" applyFill="1" applyBorder="1" applyAlignment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0" xfId="0" applyBorder="1"/>
    <xf numFmtId="0" fontId="0" fillId="0" borderId="30" xfId="0" applyBorder="1"/>
    <xf numFmtId="0" fontId="0" fillId="0" borderId="25" xfId="0" applyBorder="1"/>
    <xf numFmtId="0" fontId="0" fillId="0" borderId="31" xfId="0" applyBorder="1"/>
    <xf numFmtId="0" fontId="0" fillId="0" borderId="32" xfId="0" applyBorder="1"/>
    <xf numFmtId="0" fontId="7" fillId="0" borderId="27" xfId="0" applyFont="1" applyBorder="1"/>
    <xf numFmtId="9" fontId="0" fillId="0" borderId="30" xfId="0" applyNumberFormat="1" applyBorder="1"/>
    <xf numFmtId="0" fontId="63" fillId="0" borderId="33" xfId="0" applyFont="1" applyFill="1" applyBorder="1"/>
    <xf numFmtId="0" fontId="0" fillId="0" borderId="34" xfId="0" applyFill="1" applyBorder="1"/>
    <xf numFmtId="0" fontId="7" fillId="0" borderId="34" xfId="0" applyFont="1" applyFill="1" applyBorder="1"/>
    <xf numFmtId="0" fontId="0" fillId="0" borderId="35" xfId="0" applyFill="1" applyBorder="1"/>
    <xf numFmtId="0" fontId="63" fillId="0" borderId="0" xfId="0" applyFont="1" applyFill="1"/>
    <xf numFmtId="3" fontId="7" fillId="0" borderId="0" xfId="0" applyNumberFormat="1" applyFont="1" applyFill="1" applyBorder="1" applyAlignment="1">
      <alignment horizontal="center"/>
    </xf>
    <xf numFmtId="0" fontId="7" fillId="0" borderId="36" xfId="0" applyFont="1" applyFill="1" applyBorder="1"/>
    <xf numFmtId="0" fontId="7" fillId="0" borderId="0" xfId="0" applyFont="1" applyFill="1" applyBorder="1"/>
    <xf numFmtId="0" fontId="7" fillId="0" borderId="37" xfId="0" applyFont="1" applyFill="1" applyBorder="1"/>
    <xf numFmtId="9" fontId="7" fillId="0" borderId="36" xfId="0" applyNumberFormat="1" applyFont="1" applyFill="1" applyBorder="1"/>
    <xf numFmtId="9" fontId="7" fillId="0" borderId="38" xfId="0" applyNumberFormat="1" applyFont="1" applyFill="1" applyBorder="1"/>
    <xf numFmtId="0" fontId="7" fillId="0" borderId="14" xfId="0" applyFont="1" applyFill="1" applyBorder="1"/>
    <xf numFmtId="0" fontId="7" fillId="0" borderId="39" xfId="0" applyFont="1" applyFill="1" applyBorder="1"/>
    <xf numFmtId="0" fontId="1" fillId="0" borderId="0" xfId="0" applyFont="1" applyFill="1"/>
    <xf numFmtId="0" fontId="64" fillId="0" borderId="0" xfId="0" applyFont="1" applyAlignment="1"/>
    <xf numFmtId="4" fontId="4" fillId="0" borderId="1" xfId="0" applyNumberFormat="1" applyFont="1" applyFill="1" applyBorder="1" applyAlignment="1" applyProtection="1">
      <alignment horizontal="right"/>
      <protection locked="0"/>
    </xf>
    <xf numFmtId="1" fontId="16" fillId="0" borderId="1" xfId="1" applyNumberFormat="1" applyFont="1" applyFill="1" applyBorder="1" applyAlignment="1" applyProtection="1">
      <alignment horizontal="right"/>
      <protection hidden="1"/>
    </xf>
    <xf numFmtId="1" fontId="4" fillId="0" borderId="1" xfId="1" applyNumberFormat="1" applyFont="1" applyFill="1" applyBorder="1" applyAlignment="1" applyProtection="1">
      <alignment horizontal="right"/>
      <protection locked="0"/>
    </xf>
    <xf numFmtId="4" fontId="4" fillId="0" borderId="0" xfId="0" applyNumberFormat="1" applyFont="1" applyFill="1" applyBorder="1" applyAlignment="1">
      <alignment horizontal="left" indent="1"/>
    </xf>
    <xf numFmtId="4" fontId="65" fillId="0" borderId="1" xfId="0" applyNumberFormat="1" applyFont="1" applyFill="1" applyBorder="1" applyAlignment="1" applyProtection="1">
      <alignment horizontal="left" indent="3"/>
    </xf>
    <xf numFmtId="3" fontId="25" fillId="0" borderId="1" xfId="1" applyNumberFormat="1" applyFont="1" applyFill="1" applyBorder="1" applyAlignment="1" applyProtection="1">
      <alignment horizontal="right"/>
      <protection hidden="1"/>
    </xf>
    <xf numFmtId="4" fontId="5" fillId="0" borderId="1" xfId="0" applyNumberFormat="1" applyFont="1" applyFill="1" applyBorder="1" applyAlignment="1" applyProtection="1">
      <alignment horizontal="left" indent="3"/>
    </xf>
    <xf numFmtId="3" fontId="17" fillId="0" borderId="1" xfId="1" applyNumberFormat="1" applyFont="1" applyFill="1" applyBorder="1" applyAlignment="1" applyProtection="1">
      <alignment horizontal="right"/>
      <protection hidden="1"/>
    </xf>
    <xf numFmtId="9" fontId="62" fillId="6" borderId="0" xfId="3" applyFont="1" applyFill="1" applyBorder="1" applyAlignment="1" applyProtection="1">
      <alignment horizontal="center"/>
    </xf>
    <xf numFmtId="4" fontId="42" fillId="6" borderId="1" xfId="0" applyNumberFormat="1" applyFont="1" applyFill="1" applyBorder="1" applyProtection="1"/>
    <xf numFmtId="0" fontId="1" fillId="0" borderId="0" xfId="0" applyFont="1"/>
    <xf numFmtId="3" fontId="23" fillId="0" borderId="0" xfId="0" applyNumberFormat="1" applyFont="1" applyAlignment="1">
      <alignment horizontal="center"/>
    </xf>
    <xf numFmtId="3" fontId="25" fillId="6" borderId="0" xfId="0" applyNumberFormat="1" applyFont="1" applyFill="1" applyBorder="1" applyAlignment="1" applyProtection="1">
      <alignment horizontal="right"/>
    </xf>
    <xf numFmtId="0" fontId="1" fillId="0" borderId="0" xfId="0" applyFont="1" applyFill="1" applyProtection="1"/>
    <xf numFmtId="49" fontId="4" fillId="6" borderId="1" xfId="0" applyNumberFormat="1" applyFont="1" applyFill="1" applyBorder="1" applyAlignment="1" applyProtection="1">
      <alignment vertical="top" wrapText="1"/>
    </xf>
    <xf numFmtId="4" fontId="4" fillId="0" borderId="1" xfId="0" applyNumberFormat="1" applyFont="1" applyFill="1" applyBorder="1" applyAlignment="1" applyProtection="1">
      <alignment horizontal="left" wrapText="1" indent="3"/>
    </xf>
    <xf numFmtId="4" fontId="6" fillId="6" borderId="0" xfId="0" applyNumberFormat="1" applyFont="1" applyFill="1" applyBorder="1" applyAlignment="1" applyProtection="1">
      <alignment horizontal="left" wrapText="1"/>
    </xf>
    <xf numFmtId="4" fontId="24" fillId="6" borderId="1" xfId="0" applyNumberFormat="1" applyFont="1" applyFill="1" applyBorder="1" applyAlignment="1" applyProtection="1">
      <alignment horizontal="left" wrapText="1" indent="8"/>
    </xf>
    <xf numFmtId="4" fontId="3" fillId="6" borderId="1" xfId="0" applyNumberFormat="1" applyFont="1" applyFill="1" applyBorder="1" applyAlignment="1" applyProtection="1">
      <alignment horizontal="left" wrapText="1" indent="3"/>
    </xf>
    <xf numFmtId="4" fontId="3" fillId="6" borderId="1" xfId="0" applyNumberFormat="1" applyFont="1" applyFill="1" applyBorder="1" applyAlignment="1" applyProtection="1">
      <alignment horizontal="left" vertical="top" wrapText="1" indent="3"/>
    </xf>
    <xf numFmtId="4" fontId="1" fillId="6" borderId="0" xfId="0" applyNumberFormat="1" applyFont="1" applyFill="1" applyBorder="1" applyAlignment="1" applyProtection="1">
      <alignment horizontal="left" wrapText="1"/>
    </xf>
    <xf numFmtId="4" fontId="1" fillId="6" borderId="1" xfId="0" applyNumberFormat="1" applyFont="1" applyFill="1" applyBorder="1" applyAlignment="1" applyProtection="1">
      <alignment horizontal="left" indent="3"/>
    </xf>
    <xf numFmtId="4" fontId="2" fillId="6" borderId="0" xfId="0" applyNumberFormat="1" applyFont="1" applyFill="1" applyBorder="1" applyAlignment="1" applyProtection="1">
      <alignment horizontal="right"/>
    </xf>
    <xf numFmtId="4" fontId="1" fillId="0" borderId="0" xfId="0" applyNumberFormat="1" applyFont="1" applyBorder="1" applyAlignment="1">
      <alignment horizontal="left" indent="1"/>
    </xf>
    <xf numFmtId="1" fontId="1" fillId="0" borderId="10" xfId="0" applyNumberFormat="1" applyFont="1" applyBorder="1" applyAlignment="1">
      <alignment horizontal="left" indent="1"/>
    </xf>
    <xf numFmtId="1" fontId="1" fillId="0" borderId="10" xfId="0" applyNumberFormat="1" applyFont="1" applyBorder="1" applyAlignment="1">
      <alignment horizontal="left" wrapText="1" indent="1"/>
    </xf>
    <xf numFmtId="1" fontId="1" fillId="0" borderId="10" xfId="0" applyNumberFormat="1" applyFont="1" applyFill="1" applyBorder="1" applyAlignment="1">
      <alignment horizontal="left" wrapText="1" indent="1"/>
    </xf>
    <xf numFmtId="1" fontId="1" fillId="0" borderId="0" xfId="0" applyNumberFormat="1" applyFont="1" applyFill="1" applyBorder="1" applyAlignment="1">
      <alignment horizontal="left" indent="1"/>
    </xf>
    <xf numFmtId="1" fontId="1" fillId="0" borderId="0" xfId="0" applyNumberFormat="1" applyFont="1" applyBorder="1" applyAlignment="1">
      <alignment horizontal="left" indent="1"/>
    </xf>
    <xf numFmtId="1" fontId="20" fillId="0" borderId="10" xfId="0" applyNumberFormat="1" applyFont="1" applyBorder="1" applyAlignment="1">
      <alignment horizontal="left" wrapText="1" indent="1"/>
    </xf>
    <xf numFmtId="4" fontId="1" fillId="0" borderId="0" xfId="0" applyNumberFormat="1" applyFont="1"/>
    <xf numFmtId="4" fontId="1" fillId="0" borderId="0" xfId="1" applyNumberFormat="1" applyFont="1" applyBorder="1" applyAlignment="1">
      <alignment horizontal="center"/>
    </xf>
    <xf numFmtId="0" fontId="7" fillId="0" borderId="36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top"/>
    </xf>
    <xf numFmtId="9" fontId="0" fillId="0" borderId="30" xfId="0" applyNumberFormat="1" applyBorder="1" applyAlignment="1">
      <alignment vertical="top"/>
    </xf>
    <xf numFmtId="168" fontId="0" fillId="0" borderId="0" xfId="0" applyNumberFormat="1" applyAlignment="1">
      <alignment horizontal="right"/>
    </xf>
    <xf numFmtId="0" fontId="0" fillId="0" borderId="0" xfId="0" applyAlignment="1" applyProtection="1">
      <alignment wrapText="1"/>
    </xf>
    <xf numFmtId="0" fontId="1" fillId="0" borderId="0" xfId="0" applyFont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40" xfId="0" applyFont="1" applyBorder="1" applyAlignment="1">
      <alignment wrapText="1"/>
    </xf>
    <xf numFmtId="0" fontId="2" fillId="0" borderId="8" xfId="0" applyFont="1" applyBorder="1" applyAlignment="1">
      <alignment wrapText="1"/>
    </xf>
    <xf numFmtId="49" fontId="67" fillId="0" borderId="3" xfId="0" applyNumberFormat="1" applyFont="1" applyBorder="1" applyAlignment="1" applyProtection="1">
      <alignment horizontal="center" vertical="center" wrapText="1"/>
      <protection locked="0"/>
    </xf>
    <xf numFmtId="0" fontId="67" fillId="0" borderId="3" xfId="0" applyFont="1" applyBorder="1" applyAlignment="1" applyProtection="1">
      <alignment horizontal="center"/>
      <protection locked="0"/>
    </xf>
    <xf numFmtId="0" fontId="67" fillId="0" borderId="1" xfId="0" applyFont="1" applyBorder="1" applyAlignment="1" applyProtection="1">
      <alignment horizontal="center"/>
      <protection locked="0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49" fontId="6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7" fillId="0" borderId="3" xfId="0" applyFont="1" applyFill="1" applyBorder="1" applyAlignment="1" applyProtection="1">
      <alignment horizontal="center"/>
      <protection locked="0"/>
    </xf>
    <xf numFmtId="0" fontId="67" fillId="0" borderId="1" xfId="0" applyFont="1" applyFill="1" applyBorder="1" applyAlignment="1" applyProtection="1">
      <alignment horizontal="center"/>
      <protection locked="0"/>
    </xf>
    <xf numFmtId="1" fontId="7" fillId="0" borderId="44" xfId="0" applyNumberFormat="1" applyFont="1" applyBorder="1" applyAlignment="1">
      <alignment horizontal="left"/>
    </xf>
    <xf numFmtId="1" fontId="7" fillId="0" borderId="45" xfId="0" applyNumberFormat="1" applyFont="1" applyBorder="1" applyAlignment="1">
      <alignment horizontal="left"/>
    </xf>
    <xf numFmtId="1" fontId="7" fillId="0" borderId="46" xfId="0" applyNumberFormat="1" applyFont="1" applyBorder="1" applyAlignment="1">
      <alignment horizontal="left"/>
    </xf>
    <xf numFmtId="1" fontId="7" fillId="0" borderId="47" xfId="0" applyNumberFormat="1" applyFont="1" applyBorder="1" applyAlignment="1">
      <alignment horizontal="left"/>
    </xf>
    <xf numFmtId="1" fontId="7" fillId="0" borderId="44" xfId="0" applyNumberFormat="1" applyFont="1" applyFill="1" applyBorder="1" applyAlignment="1">
      <alignment horizontal="left"/>
    </xf>
    <xf numFmtId="1" fontId="7" fillId="0" borderId="45" xfId="0" applyNumberFormat="1" applyFont="1" applyFill="1" applyBorder="1" applyAlignment="1">
      <alignment horizontal="left"/>
    </xf>
    <xf numFmtId="1" fontId="7" fillId="0" borderId="46" xfId="0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4">
    <cellStyle name="Comma" xfId="1" builtinId="3"/>
    <cellStyle name="Normaallaad 2" xfId="2" xr:uid="{00000000-0005-0000-0000-000001000000}"/>
    <cellStyle name="Normal" xfId="0" builtinId="0"/>
    <cellStyle name="Percent" xfId="3" builtinId="5"/>
  </cellStyles>
  <dxfs count="8">
    <dxf>
      <font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/>
        <condense val="0"/>
        <extend val="0"/>
        <color indexed="10"/>
      </font>
      <fill>
        <patternFill patternType="none">
          <fgColor indexed="64"/>
          <bgColor indexed="65"/>
        </patternFill>
      </fill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rjam.Jalak\AppData\Local\Microsoft\Windows\INetCache\Content.Outlook\P67IQ3B8\EAS-prognoosid2019-r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 "/>
      <sheetName val="Продукция"/>
      <sheetName val="Кассовый денежный поток"/>
      <sheetName val="Отчет о прибыли"/>
      <sheetName val="Баланс"/>
      <sheetName val="Работники"/>
      <sheetName val="образец бюджета пособия"/>
    </sheetNames>
    <sheetDataSet>
      <sheetData sheetId="0" refreshError="1"/>
      <sheetData sheetId="1" refreshError="1"/>
      <sheetData sheetId="2">
        <row r="48">
          <cell r="A48" t="str">
            <v>Сырье и материалы</v>
          </cell>
        </row>
        <row r="49">
          <cell r="A49" t="str">
            <v>Приобретенные услуги</v>
          </cell>
        </row>
        <row r="53">
          <cell r="A53" t="str">
            <v>Расходы на рекламу</v>
          </cell>
        </row>
        <row r="54">
          <cell r="A54" t="str">
            <v>Транспортные услуги, связанные со сбытом</v>
          </cell>
        </row>
        <row r="55">
          <cell r="A55" t="str">
            <v>Горючее для автомобилей в связи со сбытом</v>
          </cell>
        </row>
        <row r="60">
          <cell r="A60" t="str">
            <v>Отопление</v>
          </cell>
        </row>
        <row r="61">
          <cell r="A61" t="str">
            <v>Электричество</v>
          </cell>
        </row>
        <row r="62">
          <cell r="A62" t="str">
            <v>Аренда</v>
          </cell>
        </row>
        <row r="63">
          <cell r="A63" t="str">
            <v>Услуги по охране</v>
          </cell>
        </row>
        <row r="64">
          <cell r="A64" t="str">
            <v>Расходы на содержание помещений</v>
          </cell>
        </row>
        <row r="65">
          <cell r="A65" t="str">
            <v>Расходы на ремонт помещений</v>
          </cell>
        </row>
        <row r="66">
          <cell r="A66" t="str">
            <v>Страхование помещений</v>
          </cell>
        </row>
        <row r="68">
          <cell r="A68" t="str">
            <v>Приобретенные транспортные услуги</v>
          </cell>
        </row>
        <row r="69">
          <cell r="A69" t="str">
            <v>Горючее для автомобилей</v>
          </cell>
        </row>
        <row r="70">
          <cell r="A70" t="str">
            <v>Техобслуживание автомобилей и ремонтные расходы</v>
          </cell>
        </row>
        <row r="71">
          <cell r="A71" t="str">
            <v>Страхование транспортных средств</v>
          </cell>
        </row>
        <row r="73">
          <cell r="A73" t="str">
            <v>GSM</v>
          </cell>
        </row>
        <row r="74">
          <cell r="A74" t="str">
            <v>Обычный телефон</v>
          </cell>
        </row>
        <row r="75">
          <cell r="A75" t="str">
            <v>Расходы, связанные с вычислительной техникой и программным обеспечением</v>
          </cell>
        </row>
        <row r="77">
          <cell r="A77" t="str">
            <v>Канцелярские товары</v>
          </cell>
        </row>
        <row r="78">
          <cell r="A78" t="str">
            <v>Банковские расходы</v>
          </cell>
        </row>
        <row r="79">
          <cell r="A79" t="str">
            <v>Обслуживание и ремонт оборудования</v>
          </cell>
        </row>
        <row r="80">
          <cell r="A80" t="str">
            <v>Прочие расходы</v>
          </cell>
        </row>
        <row r="82">
          <cell r="A82" t="str">
            <v>Брутто-зарплата (выплачивается в тот же месяц)</v>
          </cell>
        </row>
        <row r="83">
          <cell r="A83" t="str">
            <v>Социальный налог (уплачивается в следующем месяце)</v>
          </cell>
        </row>
        <row r="84">
          <cell r="A84" t="str">
            <v>Взнос по страхованию от безработицы (уплачивается в следующем месяце)</v>
          </cell>
        </row>
        <row r="85">
          <cell r="A85" t="str">
            <v>Расходы на обучение</v>
          </cell>
        </row>
        <row r="87">
          <cell r="A87" t="str">
            <v>Прочие налоги (госпошлины и т.п.)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E30"/>
  <sheetViews>
    <sheetView tabSelected="1" workbookViewId="0">
      <selection activeCell="I15" sqref="I15"/>
    </sheetView>
  </sheetViews>
  <sheetFormatPr defaultRowHeight="12.75" x14ac:dyDescent="0.2"/>
  <cols>
    <col min="1" max="1" width="69.5703125" customWidth="1"/>
    <col min="2" max="4" width="8.140625" style="4" customWidth="1"/>
    <col min="5" max="5" width="8.140625" style="2" customWidth="1"/>
  </cols>
  <sheetData>
    <row r="1" spans="1:5" x14ac:dyDescent="0.2">
      <c r="A1" s="5"/>
      <c r="B1" s="3" t="s">
        <v>60</v>
      </c>
      <c r="C1" s="3" t="s">
        <v>61</v>
      </c>
      <c r="D1" s="3" t="s">
        <v>62</v>
      </c>
      <c r="E1" s="2" t="s">
        <v>63</v>
      </c>
    </row>
    <row r="2" spans="1:5" ht="25.5" x14ac:dyDescent="0.2">
      <c r="A2" s="367" t="s">
        <v>55</v>
      </c>
      <c r="B2" s="6" t="s">
        <v>64</v>
      </c>
      <c r="C2" s="6" t="s">
        <v>64</v>
      </c>
      <c r="D2" s="6" t="s">
        <v>64</v>
      </c>
      <c r="E2" s="6" t="s">
        <v>64</v>
      </c>
    </row>
    <row r="3" spans="1:5" ht="25.5" x14ac:dyDescent="0.2">
      <c r="A3" s="367" t="s">
        <v>56</v>
      </c>
      <c r="B3" s="8"/>
      <c r="C3" s="8"/>
      <c r="D3" s="8"/>
      <c r="E3" s="8"/>
    </row>
    <row r="4" spans="1:5" x14ac:dyDescent="0.2">
      <c r="A4" s="5" t="s">
        <v>57</v>
      </c>
      <c r="B4" s="8"/>
      <c r="C4" s="8"/>
      <c r="D4" s="8"/>
      <c r="E4" s="8"/>
    </row>
    <row r="5" spans="1:5" x14ac:dyDescent="0.2">
      <c r="A5" s="5" t="s">
        <v>58</v>
      </c>
      <c r="B5" s="8"/>
      <c r="C5" s="8"/>
      <c r="D5" s="8"/>
      <c r="E5" s="8"/>
    </row>
    <row r="6" spans="1:5" s="12" customFormat="1" x14ac:dyDescent="0.2">
      <c r="A6" s="342" t="s">
        <v>59</v>
      </c>
      <c r="B6" s="8"/>
      <c r="C6" s="8"/>
      <c r="D6" s="8"/>
      <c r="E6" s="8"/>
    </row>
    <row r="7" spans="1:5" s="12" customFormat="1" x14ac:dyDescent="0.2">
      <c r="A7" s="9"/>
      <c r="B7" s="10"/>
      <c r="C7" s="10"/>
      <c r="D7" s="10"/>
      <c r="E7" s="11"/>
    </row>
    <row r="8" spans="1:5" s="5" customFormat="1" x14ac:dyDescent="0.2">
      <c r="B8" s="3"/>
      <c r="C8" s="3"/>
      <c r="D8" s="3"/>
    </row>
    <row r="9" spans="1:5" s="5" customFormat="1" x14ac:dyDescent="0.2">
      <c r="B9" s="13"/>
      <c r="C9" s="13"/>
      <c r="D9" s="13"/>
      <c r="E9" s="14"/>
    </row>
    <row r="10" spans="1:5" s="5" customFormat="1" x14ac:dyDescent="0.2">
      <c r="B10" s="3"/>
      <c r="C10" s="3"/>
      <c r="D10" s="3"/>
    </row>
    <row r="11" spans="1:5" ht="15" x14ac:dyDescent="0.2">
      <c r="A11" s="7" t="s">
        <v>65</v>
      </c>
      <c r="B11" s="3"/>
      <c r="C11" s="3"/>
      <c r="D11" s="3"/>
    </row>
    <row r="12" spans="1:5" x14ac:dyDescent="0.2">
      <c r="A12" t="s">
        <v>344</v>
      </c>
    </row>
    <row r="13" spans="1:5" ht="38.25" x14ac:dyDescent="0.2">
      <c r="A13" s="249" t="s">
        <v>343</v>
      </c>
    </row>
    <row r="14" spans="1:5" ht="51" x14ac:dyDescent="0.2">
      <c r="A14" s="249" t="s">
        <v>366</v>
      </c>
    </row>
    <row r="15" spans="1:5" ht="115.5" customHeight="1" x14ac:dyDescent="0.2">
      <c r="A15" s="368" t="s">
        <v>345</v>
      </c>
    </row>
    <row r="16" spans="1:5" ht="15" customHeight="1" x14ac:dyDescent="0.2">
      <c r="A16" t="s">
        <v>66</v>
      </c>
    </row>
    <row r="17" spans="1:1" ht="25.5" x14ac:dyDescent="0.2">
      <c r="A17" s="1" t="s">
        <v>67</v>
      </c>
    </row>
    <row r="18" spans="1:1" ht="25.5" x14ac:dyDescent="0.2">
      <c r="A18" s="249" t="s">
        <v>68</v>
      </c>
    </row>
    <row r="25" spans="1:1" x14ac:dyDescent="0.2">
      <c r="A25" s="1"/>
    </row>
    <row r="26" spans="1:1" x14ac:dyDescent="0.2">
      <c r="A26" s="1"/>
    </row>
    <row r="27" spans="1:1" x14ac:dyDescent="0.2">
      <c r="A27" s="1"/>
    </row>
    <row r="28" spans="1:1" x14ac:dyDescent="0.2">
      <c r="A28" s="1"/>
    </row>
    <row r="29" spans="1:1" x14ac:dyDescent="0.2">
      <c r="A29" s="1"/>
    </row>
    <row r="30" spans="1:1" x14ac:dyDescent="0.2">
      <c r="A30" s="1"/>
    </row>
  </sheetData>
  <phoneticPr fontId="2" type="noConversion"/>
  <dataValidations count="2">
    <dataValidation type="textLength" allowBlank="1" showInputMessage="1" showErrorMessage="1" error="valik saab olla ainult &quot;jah&quot; või &quot;ei&quot;" promptTitle="Sisestada valikväärtus " sqref="B2:E2" xr:uid="{00000000-0002-0000-0000-000000000000}">
      <formula1>2</formula1>
      <formula2>3</formula2>
    </dataValidation>
    <dataValidation type="whole" allowBlank="1" showInputMessage="1" showErrorMessage="1" error="Summa saab olla ainult täisarv vahemikus 1-100" sqref="B3:E6" xr:uid="{00000000-0002-0000-0000-000001000000}">
      <formula1>1</formula1>
      <formula2>100</formula2>
    </dataValidation>
  </dataValidations>
  <pageMargins left="0.75" right="0.75" top="0.98425196850393704" bottom="0.98425196850393704" header="0" footer="0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A1:BV62"/>
  <sheetViews>
    <sheetView view="pageBreakPreview" zoomScale="90" zoomScaleNormal="100" zoomScaleSheetLayoutView="90" workbookViewId="0">
      <pane xSplit="4" ySplit="11" topLeftCell="E12" activePane="bottomRight" state="frozen"/>
      <selection activeCell="D34" sqref="D34"/>
      <selection pane="topRight" activeCell="D34" sqref="D34"/>
      <selection pane="bottomLeft" activeCell="D34" sqref="D34"/>
      <selection pane="bottomRight" activeCell="X1" sqref="X1"/>
    </sheetView>
  </sheetViews>
  <sheetFormatPr defaultColWidth="9.140625" defaultRowHeight="11.25" x14ac:dyDescent="0.2"/>
  <cols>
    <col min="1" max="1" width="4.28515625" style="23" customWidth="1"/>
    <col min="2" max="2" width="15.42578125" style="23" customWidth="1"/>
    <col min="3" max="3" width="15" style="23" customWidth="1"/>
    <col min="4" max="4" width="21.42578125" style="44" bestFit="1" customWidth="1"/>
    <col min="5" max="5" width="7.42578125" style="52" customWidth="1"/>
    <col min="6" max="17" width="10" style="23" customWidth="1"/>
    <col min="18" max="18" width="10" style="45" customWidth="1"/>
    <col min="19" max="21" width="10" style="23" customWidth="1"/>
    <col min="22" max="22" width="9.140625" style="23"/>
    <col min="23" max="23" width="12.140625" style="23" customWidth="1"/>
    <col min="24" max="24" width="9" style="23" customWidth="1"/>
    <col min="25" max="25" width="9.85546875" style="23" customWidth="1"/>
    <col min="26" max="26" width="10.28515625" style="23" customWidth="1"/>
    <col min="27" max="27" width="9.5703125" style="23" customWidth="1"/>
    <col min="28" max="28" width="8.5703125" style="23" customWidth="1"/>
    <col min="29" max="29" width="9.42578125" style="23" customWidth="1"/>
    <col min="30" max="30" width="8.85546875" style="23" customWidth="1"/>
    <col min="31" max="31" width="8.5703125" style="23" customWidth="1"/>
    <col min="32" max="32" width="9.140625" style="23" customWidth="1"/>
    <col min="33" max="33" width="8.140625" style="23" customWidth="1"/>
    <col min="34" max="34" width="8.28515625" style="23" customWidth="1"/>
    <col min="35" max="35" width="10" style="23" customWidth="1"/>
    <col min="36" max="36" width="6" style="23" customWidth="1"/>
    <col min="37" max="39" width="5" style="23" customWidth="1"/>
    <col min="40" max="40" width="9.140625" style="23" customWidth="1"/>
    <col min="41" max="16384" width="9.140625" style="23"/>
  </cols>
  <sheetData>
    <row r="1" spans="1:74" ht="40.9" customHeight="1" thickBot="1" x14ac:dyDescent="0.25">
      <c r="A1" s="15" t="s">
        <v>69</v>
      </c>
      <c r="B1" s="369" t="s">
        <v>70</v>
      </c>
      <c r="C1" s="370"/>
      <c r="D1" s="371"/>
      <c r="E1" s="46" t="s">
        <v>71</v>
      </c>
      <c r="F1" s="16" t="s">
        <v>346</v>
      </c>
      <c r="G1" s="16" t="s">
        <v>347</v>
      </c>
      <c r="H1" s="16" t="s">
        <v>348</v>
      </c>
      <c r="I1" s="16" t="s">
        <v>349</v>
      </c>
      <c r="J1" s="16" t="s">
        <v>350</v>
      </c>
      <c r="K1" s="16" t="s">
        <v>351</v>
      </c>
      <c r="L1" s="16" t="s">
        <v>352</v>
      </c>
      <c r="M1" s="16" t="s">
        <v>353</v>
      </c>
      <c r="N1" s="16" t="s">
        <v>354</v>
      </c>
      <c r="O1" s="16" t="s">
        <v>355</v>
      </c>
      <c r="P1" s="16" t="s">
        <v>356</v>
      </c>
      <c r="Q1" s="16" t="s">
        <v>357</v>
      </c>
      <c r="R1" s="17">
        <v>2022</v>
      </c>
      <c r="S1" s="18">
        <v>2023</v>
      </c>
      <c r="T1" s="18">
        <v>2024</v>
      </c>
      <c r="U1" s="18">
        <v>2025</v>
      </c>
      <c r="V1" s="19"/>
      <c r="W1" s="20" t="s">
        <v>103</v>
      </c>
      <c r="X1" s="21" t="str">
        <f>'Кассовый денежный поток'!B2</f>
        <v>янв.2022</v>
      </c>
      <c r="Y1" s="21" t="str">
        <f>'Кассовый денежный поток'!C2</f>
        <v>февр.2022</v>
      </c>
      <c r="Z1" s="21" t="str">
        <f>'Кассовый денежный поток'!D2</f>
        <v>март 2022</v>
      </c>
      <c r="AA1" s="21" t="str">
        <f>'Кассовый денежный поток'!E2</f>
        <v>апр.2022</v>
      </c>
      <c r="AB1" s="21" t="str">
        <f>'Кассовый денежный поток'!F2</f>
        <v>май 2022</v>
      </c>
      <c r="AC1" s="21" t="str">
        <f>'Кассовый денежный поток'!G2</f>
        <v>июнь 2022</v>
      </c>
      <c r="AD1" s="21" t="str">
        <f>'Кассовый денежный поток'!H2</f>
        <v>июль 2022</v>
      </c>
      <c r="AE1" s="21" t="str">
        <f>'Кассовый денежный поток'!I2</f>
        <v>авг.2022</v>
      </c>
      <c r="AF1" s="21" t="str">
        <f>'Кассовый денежный поток'!J2</f>
        <v>сент.2022</v>
      </c>
      <c r="AG1" s="21" t="str">
        <f>'Кассовый денежный поток'!K2</f>
        <v>окт.2022</v>
      </c>
      <c r="AH1" s="21" t="str">
        <f>'Кассовый денежный поток'!L2</f>
        <v>нояб.2022</v>
      </c>
      <c r="AI1" s="21" t="str">
        <f>'Кассовый денежный поток'!M2</f>
        <v>дек.2022</v>
      </c>
      <c r="AJ1" s="22">
        <f>'Кассовый денежный поток'!N2</f>
        <v>2022</v>
      </c>
      <c r="AK1" s="22">
        <f>'Кассовый денежный поток'!O2</f>
        <v>2023</v>
      </c>
      <c r="AL1" s="22">
        <f>'Кассовый денежный поток'!P2</f>
        <v>2024</v>
      </c>
      <c r="AM1" s="22">
        <f>'Кассовый денежный поток'!Q2</f>
        <v>2025</v>
      </c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</row>
    <row r="2" spans="1:74" ht="10.15" hidden="1" customHeight="1" x14ac:dyDescent="0.2">
      <c r="A2" s="24"/>
      <c r="B2" s="24" t="s">
        <v>72</v>
      </c>
      <c r="C2" s="24"/>
      <c r="D2" s="25"/>
      <c r="E2" s="47">
        <f t="shared" ref="E2" si="0">E12+E17+E22+E27+E32+E37+E42+E47+E52+E57</f>
        <v>67</v>
      </c>
      <c r="F2" s="26">
        <f t="shared" ref="F2:Q2" si="1">F12+F17+F22+F27+F32+F37+F42+F47+F52+F57</f>
        <v>0</v>
      </c>
      <c r="G2" s="26">
        <f t="shared" si="1"/>
        <v>0</v>
      </c>
      <c r="H2" s="26">
        <f t="shared" si="1"/>
        <v>0</v>
      </c>
      <c r="I2" s="26">
        <f t="shared" si="1"/>
        <v>0</v>
      </c>
      <c r="J2" s="26">
        <f t="shared" si="1"/>
        <v>0</v>
      </c>
      <c r="K2" s="26">
        <f t="shared" si="1"/>
        <v>0</v>
      </c>
      <c r="L2" s="26">
        <f t="shared" si="1"/>
        <v>0</v>
      </c>
      <c r="M2" s="26">
        <f t="shared" si="1"/>
        <v>0</v>
      </c>
      <c r="N2" s="26">
        <f t="shared" si="1"/>
        <v>0</v>
      </c>
      <c r="O2" s="26">
        <f t="shared" si="1"/>
        <v>0</v>
      </c>
      <c r="P2" s="26">
        <f t="shared" si="1"/>
        <v>0</v>
      </c>
      <c r="Q2" s="26">
        <f t="shared" si="1"/>
        <v>0</v>
      </c>
      <c r="R2" s="27">
        <f>SUM(F2:Q2)</f>
        <v>0</v>
      </c>
      <c r="S2" s="26">
        <f>S12+S17+S22+S27+S32+S37+S42+S47+S52+S57</f>
        <v>0</v>
      </c>
      <c r="T2" s="26">
        <f>T12+T17+T22+T27+T32+T37+T42+T47+T52+T57</f>
        <v>0</v>
      </c>
      <c r="U2" s="26">
        <f>U12+U17+U22+U27+U32+U37+U42+U47+U52+U57</f>
        <v>0</v>
      </c>
      <c r="W2" s="23">
        <f>IF($B16=9%,E16-E16*E13,0)</f>
        <v>0</v>
      </c>
      <c r="X2" s="23">
        <f t="shared" ref="X2:AI2" si="2">IF($B16=9%,F16-F16*F13,0)</f>
        <v>0</v>
      </c>
      <c r="Y2" s="23">
        <f t="shared" si="2"/>
        <v>0</v>
      </c>
      <c r="Z2" s="23">
        <f t="shared" si="2"/>
        <v>0</v>
      </c>
      <c r="AA2" s="23">
        <f t="shared" si="2"/>
        <v>0</v>
      </c>
      <c r="AB2" s="23">
        <f t="shared" si="2"/>
        <v>0</v>
      </c>
      <c r="AC2" s="23">
        <f t="shared" si="2"/>
        <v>0</v>
      </c>
      <c r="AD2" s="23">
        <f t="shared" si="2"/>
        <v>0</v>
      </c>
      <c r="AE2" s="23">
        <f t="shared" si="2"/>
        <v>0</v>
      </c>
      <c r="AF2" s="23">
        <f t="shared" si="2"/>
        <v>0</v>
      </c>
      <c r="AG2" s="23">
        <f t="shared" si="2"/>
        <v>0</v>
      </c>
      <c r="AH2" s="23">
        <f t="shared" si="2"/>
        <v>0</v>
      </c>
      <c r="AI2" s="23">
        <f t="shared" si="2"/>
        <v>0</v>
      </c>
      <c r="AJ2" s="23">
        <f>SUM(X2:AI2)</f>
        <v>0</v>
      </c>
      <c r="AK2" s="23">
        <f>IF($B16=9%,S16-S16*S13,0)</f>
        <v>0</v>
      </c>
      <c r="AL2" s="23">
        <f>IF(Q16=9%,T16-T16*T13,0)</f>
        <v>0</v>
      </c>
      <c r="AM2" s="23">
        <f>IF(R16=9%,U16-U16*U13,0)</f>
        <v>0</v>
      </c>
    </row>
    <row r="3" spans="1:74" ht="10.15" hidden="1" customHeight="1" x14ac:dyDescent="0.2">
      <c r="A3" s="24"/>
      <c r="B3" s="24" t="s">
        <v>73</v>
      </c>
      <c r="C3" s="24"/>
      <c r="D3" s="25"/>
      <c r="E3" s="47">
        <f t="shared" ref="E3" si="3">E16+E21+E26+E31+E36+E41+E46+E51+E56+E61</f>
        <v>77500</v>
      </c>
      <c r="F3" s="26">
        <f t="shared" ref="F3:Q3" si="4">F16+F21+F26+F31+F36+F41+F46+F51+F56+F61</f>
        <v>0</v>
      </c>
      <c r="G3" s="26">
        <f t="shared" si="4"/>
        <v>0</v>
      </c>
      <c r="H3" s="26">
        <f t="shared" si="4"/>
        <v>0</v>
      </c>
      <c r="I3" s="26">
        <f t="shared" si="4"/>
        <v>0</v>
      </c>
      <c r="J3" s="26">
        <f t="shared" si="4"/>
        <v>0</v>
      </c>
      <c r="K3" s="26">
        <f t="shared" si="4"/>
        <v>0</v>
      </c>
      <c r="L3" s="26">
        <f t="shared" si="4"/>
        <v>0</v>
      </c>
      <c r="M3" s="26">
        <f t="shared" si="4"/>
        <v>0</v>
      </c>
      <c r="N3" s="26">
        <f t="shared" si="4"/>
        <v>0</v>
      </c>
      <c r="O3" s="26">
        <f t="shared" si="4"/>
        <v>0</v>
      </c>
      <c r="P3" s="26">
        <f t="shared" si="4"/>
        <v>0</v>
      </c>
      <c r="Q3" s="26">
        <f t="shared" si="4"/>
        <v>0</v>
      </c>
      <c r="R3" s="27">
        <f>SUM(F3:Q3)</f>
        <v>0</v>
      </c>
      <c r="S3" s="26">
        <f>S16+S21+S26+S31+S36+S41+S46+S51+S56+S61</f>
        <v>0</v>
      </c>
      <c r="T3" s="26">
        <f>T16+T21+T26+T31+T36+T41+T46+T51+T56+T61</f>
        <v>0</v>
      </c>
      <c r="U3" s="26">
        <f>U16+U21+U26+U31+U36+U41+U46+U51+U56+U61</f>
        <v>0</v>
      </c>
      <c r="W3" s="23">
        <f>IF($B21=9%,E21-E21*E18,0)</f>
        <v>0</v>
      </c>
      <c r="X3" s="23">
        <f t="shared" ref="X3:AI3" si="5">IF($B21=9%,F21-F21*F18,0)</f>
        <v>0</v>
      </c>
      <c r="Y3" s="23">
        <f t="shared" si="5"/>
        <v>0</v>
      </c>
      <c r="Z3" s="23">
        <f t="shared" si="5"/>
        <v>0</v>
      </c>
      <c r="AA3" s="23">
        <f t="shared" si="5"/>
        <v>0</v>
      </c>
      <c r="AB3" s="23">
        <f t="shared" si="5"/>
        <v>0</v>
      </c>
      <c r="AC3" s="23">
        <f t="shared" si="5"/>
        <v>0</v>
      </c>
      <c r="AD3" s="23">
        <f t="shared" si="5"/>
        <v>0</v>
      </c>
      <c r="AE3" s="23">
        <f t="shared" si="5"/>
        <v>0</v>
      </c>
      <c r="AF3" s="23">
        <f t="shared" si="5"/>
        <v>0</v>
      </c>
      <c r="AG3" s="23">
        <f t="shared" si="5"/>
        <v>0</v>
      </c>
      <c r="AH3" s="23">
        <f t="shared" si="5"/>
        <v>0</v>
      </c>
      <c r="AI3" s="23">
        <f t="shared" si="5"/>
        <v>0</v>
      </c>
      <c r="AJ3" s="23">
        <f t="shared" ref="AJ3:AJ11" si="6">SUM(X3:AI3)</f>
        <v>0</v>
      </c>
      <c r="AK3" s="23">
        <f>IF($B21=9%,S21-S21*S18,0)</f>
        <v>0</v>
      </c>
      <c r="AL3" s="23">
        <f>IF($B21=9%,T21-T21*T18,0)</f>
        <v>0</v>
      </c>
      <c r="AM3" s="23">
        <f>IF($B21=9%,U21-U21*U18,0)</f>
        <v>0</v>
      </c>
    </row>
    <row r="4" spans="1:74" ht="10.15" hidden="1" customHeight="1" x14ac:dyDescent="0.2">
      <c r="A4" s="24"/>
      <c r="B4" s="24" t="s">
        <v>74</v>
      </c>
      <c r="C4" s="24"/>
      <c r="D4" s="25"/>
      <c r="E4" s="47">
        <f>ROUND(E3/E2,0)</f>
        <v>1157</v>
      </c>
      <c r="F4" s="26">
        <f>IF(F2&gt;0,ROUND(F3/F2,0),0)</f>
        <v>0</v>
      </c>
      <c r="G4" s="26">
        <f t="shared" ref="G4:P4" si="7">IF(G2&gt;0,ROUND(G3/G2,0),0)</f>
        <v>0</v>
      </c>
      <c r="H4" s="26">
        <f t="shared" si="7"/>
        <v>0</v>
      </c>
      <c r="I4" s="26">
        <f t="shared" si="7"/>
        <v>0</v>
      </c>
      <c r="J4" s="26">
        <f t="shared" si="7"/>
        <v>0</v>
      </c>
      <c r="K4" s="26">
        <f t="shared" si="7"/>
        <v>0</v>
      </c>
      <c r="L4" s="26">
        <f t="shared" si="7"/>
        <v>0</v>
      </c>
      <c r="M4" s="26">
        <f t="shared" si="7"/>
        <v>0</v>
      </c>
      <c r="N4" s="26">
        <f t="shared" si="7"/>
        <v>0</v>
      </c>
      <c r="O4" s="26">
        <f t="shared" si="7"/>
        <v>0</v>
      </c>
      <c r="P4" s="26">
        <f t="shared" si="7"/>
        <v>0</v>
      </c>
      <c r="Q4" s="26">
        <f>IF(Q2&gt;0,ROUND(Q3/Q2,0),0)</f>
        <v>0</v>
      </c>
      <c r="R4" s="27">
        <f>IF(R2&gt;0,ROUND(R3/R2,0),0)</f>
        <v>0</v>
      </c>
      <c r="S4" s="26">
        <f>IF(S2&gt;0,ROUND(S3/S2,0),0)</f>
        <v>0</v>
      </c>
      <c r="T4" s="26">
        <f>IF(T2&gt;0,ROUND(T3/T2,0),0)</f>
        <v>0</v>
      </c>
      <c r="U4" s="26">
        <f>IF(U2&gt;0,ROUND(U3/U2,0),0)</f>
        <v>0</v>
      </c>
      <c r="W4" s="23">
        <f>IF($B26=9%,E26-E26*E23,0)</f>
        <v>7000</v>
      </c>
      <c r="X4" s="23">
        <f>IF($B26=9%,F26-F26*F23,0)</f>
        <v>0</v>
      </c>
      <c r="Y4" s="23">
        <f t="shared" ref="Y4:AI4" si="8">IF($B26=9%,G26-G26*G23,0)</f>
        <v>0</v>
      </c>
      <c r="Z4" s="23">
        <f t="shared" si="8"/>
        <v>0</v>
      </c>
      <c r="AA4" s="23">
        <f t="shared" si="8"/>
        <v>0</v>
      </c>
      <c r="AB4" s="23">
        <f t="shared" si="8"/>
        <v>0</v>
      </c>
      <c r="AC4" s="23">
        <f t="shared" si="8"/>
        <v>0</v>
      </c>
      <c r="AD4" s="23">
        <f t="shared" si="8"/>
        <v>0</v>
      </c>
      <c r="AE4" s="23">
        <f t="shared" si="8"/>
        <v>0</v>
      </c>
      <c r="AF4" s="23">
        <f t="shared" si="8"/>
        <v>0</v>
      </c>
      <c r="AG4" s="23">
        <f t="shared" si="8"/>
        <v>0</v>
      </c>
      <c r="AH4" s="23">
        <f t="shared" si="8"/>
        <v>0</v>
      </c>
      <c r="AI4" s="23">
        <f t="shared" si="8"/>
        <v>0</v>
      </c>
      <c r="AJ4" s="23">
        <f t="shared" si="6"/>
        <v>0</v>
      </c>
      <c r="AK4" s="23">
        <f>IF($B26=9%,S26-S26*S23,0)</f>
        <v>0</v>
      </c>
      <c r="AL4" s="23">
        <f>IF($B26=9%,T26-T26*T23,0)</f>
        <v>0</v>
      </c>
      <c r="AM4" s="23">
        <f>IF($B26=9%,U26-U26*U23,0)</f>
        <v>0</v>
      </c>
    </row>
    <row r="5" spans="1:74" ht="10.15" hidden="1" customHeight="1" x14ac:dyDescent="0.2">
      <c r="A5" s="24"/>
      <c r="B5" s="24" t="s">
        <v>75</v>
      </c>
      <c r="C5" s="24"/>
      <c r="D5" s="25"/>
      <c r="E5" s="47">
        <f>E12*E15+E17*E20+E22*E25+E27*E30+E32*E35+E37*E40+E42*E45+E47*E50+E52*E55+E57*E60</f>
        <v>37900</v>
      </c>
      <c r="F5" s="26">
        <f t="shared" ref="F5:L5" si="9">ROUND(F12*F15+F17*F20+F22*F25+F27*F30+F32*F35+F37*F40+F42*F45+F47*F50+F52*F55+F57*F60,0)</f>
        <v>0</v>
      </c>
      <c r="G5" s="26">
        <f t="shared" si="9"/>
        <v>0</v>
      </c>
      <c r="H5" s="26">
        <f t="shared" si="9"/>
        <v>0</v>
      </c>
      <c r="I5" s="26">
        <f t="shared" si="9"/>
        <v>0</v>
      </c>
      <c r="J5" s="26">
        <f t="shared" si="9"/>
        <v>0</v>
      </c>
      <c r="K5" s="26">
        <f t="shared" si="9"/>
        <v>0</v>
      </c>
      <c r="L5" s="26">
        <f t="shared" si="9"/>
        <v>0</v>
      </c>
      <c r="M5" s="26">
        <f>ROUND(M12*M15+M17*M20+M22*M25+M27*M30+M32*M35+M37*M40+M42*M45+M47*M50+M52*M55+M57*M60,0)</f>
        <v>0</v>
      </c>
      <c r="N5" s="26">
        <f>ROUND(N12*N15+N17*N20+N22*N25+N27*N30+N32*N35+N37*N40+N42*N45+N47*N50+N52*N55+N57*N60,0)</f>
        <v>0</v>
      </c>
      <c r="O5" s="26">
        <f>ROUND(O12*O15+O17*O20+O22*O25+O27*O30+O32*O35+O37*O40+O42*O45+O47*O50+O52*O55+O57*O60,0)</f>
        <v>0</v>
      </c>
      <c r="P5" s="26">
        <f>ROUND(P12*P15+P17*P20+P22*P25+P27*P30+P32*P35+P37*P40+P42*P45+P47*P50+P52*P55+P57*P60,0)</f>
        <v>0</v>
      </c>
      <c r="Q5" s="26">
        <f>ROUND(Q12*Q15+Q17*Q20+Q22*Q25+Q27*Q30+Q32*Q35+Q37*Q40+Q42*Q45+Q47*Q50+Q52*Q55+Q57*Q60,0)</f>
        <v>0</v>
      </c>
      <c r="R5" s="27">
        <f>SUM(F5:Q5)</f>
        <v>0</v>
      </c>
      <c r="S5" s="26">
        <f>ROUND(S12*S15+S17*S20+S22*S25+S27*S30+S32*S35+S37*S40+S42*S45+S47*S50+S52*S55+S57*S60,0)</f>
        <v>0</v>
      </c>
      <c r="T5" s="26">
        <f>T12*T15+T17*T20+T22*T25+T27*T30+T32*T35+T37*T40+T42*T45+T47*T50+T52*T55+T57*T60</f>
        <v>0</v>
      </c>
      <c r="U5" s="26">
        <f>U12*U15+U17*U20+U22*U25+U27*U30+U32*U35+U37*U40+U42*U45+U47*U50+U52*U55+U57*U60</f>
        <v>0</v>
      </c>
      <c r="W5" s="23">
        <f>IF($B31=9%,E31-E31*E28,0)</f>
        <v>0</v>
      </c>
      <c r="X5" s="23">
        <f t="shared" ref="X5:AI5" si="10">IF($B31=9%,F31-F31*F28,0)</f>
        <v>0</v>
      </c>
      <c r="Y5" s="23">
        <f t="shared" si="10"/>
        <v>0</v>
      </c>
      <c r="Z5" s="23">
        <f t="shared" si="10"/>
        <v>0</v>
      </c>
      <c r="AA5" s="23">
        <f t="shared" si="10"/>
        <v>0</v>
      </c>
      <c r="AB5" s="23">
        <f t="shared" si="10"/>
        <v>0</v>
      </c>
      <c r="AC5" s="23">
        <f t="shared" si="10"/>
        <v>0</v>
      </c>
      <c r="AD5" s="23">
        <f t="shared" si="10"/>
        <v>0</v>
      </c>
      <c r="AE5" s="23">
        <f t="shared" si="10"/>
        <v>0</v>
      </c>
      <c r="AF5" s="23">
        <f t="shared" si="10"/>
        <v>0</v>
      </c>
      <c r="AG5" s="23">
        <f t="shared" si="10"/>
        <v>0</v>
      </c>
      <c r="AH5" s="23">
        <f t="shared" si="10"/>
        <v>0</v>
      </c>
      <c r="AI5" s="23">
        <f t="shared" si="10"/>
        <v>0</v>
      </c>
      <c r="AJ5" s="23">
        <f t="shared" si="6"/>
        <v>0</v>
      </c>
      <c r="AK5" s="23">
        <f>IF($B31=9%,S31-S31*S28,0)</f>
        <v>0</v>
      </c>
      <c r="AL5" s="23">
        <f>IF($B31=9%,T31-T31*T28,0)</f>
        <v>0</v>
      </c>
      <c r="AM5" s="23">
        <f>IF($B31=9%,U31-U31*U28,0)</f>
        <v>0</v>
      </c>
    </row>
    <row r="6" spans="1:74" ht="10.15" hidden="1" customHeight="1" x14ac:dyDescent="0.2">
      <c r="A6" s="24"/>
      <c r="B6" s="24" t="s">
        <v>76</v>
      </c>
      <c r="C6" s="24"/>
      <c r="D6" s="25"/>
      <c r="E6" s="47">
        <f>E12*E15*$C16+E17*E20*$C21+E22*E25*$C26+E27*E30*$C31+E32*E35*$C36+E37*E40*$C41+E42*E45*$C46+E47*E50*$C51+E52*E55*$C56+E57*E60*$C61</f>
        <v>3790</v>
      </c>
      <c r="F6" s="26">
        <f>ROUND(F12*F15*$C16+F17*F20*$C21+F22*F25*$C26+F27*F30*$C31+F32*F35*$C36+F37*F40*$C41+F42*F45*$C46+F47*F50*$C51+F52*F55*$C56+F57*F60*$C61,0)</f>
        <v>0</v>
      </c>
      <c r="G6" s="26">
        <f t="shared" ref="G6:Q6" si="11">ROUND(G12*G15*$C16+G17*G20*$C21+G22*G25*$C26+G27*G30*$C31+G32*G35*$C36+G37*G40*$C41+G42*G45*$C46+G47*G50*$C51+G52*G55*$C56+G57*G60*$C61,0)</f>
        <v>0</v>
      </c>
      <c r="H6" s="26">
        <f t="shared" si="11"/>
        <v>0</v>
      </c>
      <c r="I6" s="26">
        <f t="shared" si="11"/>
        <v>0</v>
      </c>
      <c r="J6" s="26">
        <f t="shared" si="11"/>
        <v>0</v>
      </c>
      <c r="K6" s="26">
        <f t="shared" si="11"/>
        <v>0</v>
      </c>
      <c r="L6" s="26">
        <f t="shared" si="11"/>
        <v>0</v>
      </c>
      <c r="M6" s="26">
        <f t="shared" si="11"/>
        <v>0</v>
      </c>
      <c r="N6" s="26">
        <f t="shared" si="11"/>
        <v>0</v>
      </c>
      <c r="O6" s="26">
        <f t="shared" si="11"/>
        <v>0</v>
      </c>
      <c r="P6" s="26">
        <f t="shared" si="11"/>
        <v>0</v>
      </c>
      <c r="Q6" s="26">
        <f t="shared" si="11"/>
        <v>0</v>
      </c>
      <c r="R6" s="26"/>
      <c r="S6" s="26">
        <f>(ROUND(S12*S15*$C16+S17*S20*$C21+S22*S25*$C26+S27*S30*$C31+S32*S35*$C36+S37*S40*$C41+S42*S45*$C46+S47*S50*$C51+S52*S55*$C56+S57*S60*$C61,0))/12</f>
        <v>0</v>
      </c>
      <c r="T6" s="26">
        <f>(ROUND(T12*T15*$C16+T17*T20*$C21+T22*T25*$C26+T27*T30*$C31+T32*T35*$C36+T37*T40*$C41+T42*T45*$C46+T47*T50*$C51+T52*T55*$C56+T57*T60*$C61,0))/12</f>
        <v>0</v>
      </c>
      <c r="U6" s="26">
        <f>(ROUND(U12*U15*$C16+U17*U20*$C21+U22*U25*$C26+U27*U30*$C31+U32*U35*$C36+U37*U40*$C41+U42*U45*$C46+U47*U50*$C51+U52*U55*$C56+U57*U60*$C61,0))/12</f>
        <v>0</v>
      </c>
      <c r="W6" s="23">
        <f>IF($B36=9%,E36-E36*E33,0)</f>
        <v>0</v>
      </c>
      <c r="X6" s="23">
        <f t="shared" ref="X6:AI6" si="12">IF($B36=9%,F36-F36*F33,0)</f>
        <v>0</v>
      </c>
      <c r="Y6" s="23">
        <f t="shared" si="12"/>
        <v>0</v>
      </c>
      <c r="Z6" s="23">
        <f t="shared" si="12"/>
        <v>0</v>
      </c>
      <c r="AA6" s="23">
        <f t="shared" si="12"/>
        <v>0</v>
      </c>
      <c r="AB6" s="23">
        <f t="shared" si="12"/>
        <v>0</v>
      </c>
      <c r="AC6" s="23">
        <f t="shared" si="12"/>
        <v>0</v>
      </c>
      <c r="AD6" s="23">
        <f t="shared" si="12"/>
        <v>0</v>
      </c>
      <c r="AE6" s="23">
        <f t="shared" si="12"/>
        <v>0</v>
      </c>
      <c r="AF6" s="23">
        <f t="shared" si="12"/>
        <v>0</v>
      </c>
      <c r="AG6" s="23">
        <f t="shared" si="12"/>
        <v>0</v>
      </c>
      <c r="AH6" s="23">
        <f t="shared" si="12"/>
        <v>0</v>
      </c>
      <c r="AI6" s="23">
        <f t="shared" si="12"/>
        <v>0</v>
      </c>
      <c r="AJ6" s="23">
        <f t="shared" si="6"/>
        <v>0</v>
      </c>
      <c r="AK6" s="23">
        <f>IF($B36=9%,S36-S36*S33,0)</f>
        <v>0</v>
      </c>
      <c r="AL6" s="23">
        <f>IF($B36=9%,T36-T36*T33,0)</f>
        <v>0</v>
      </c>
      <c r="AM6" s="23">
        <f>IF($B36=9%,U36-U36*U33,0)</f>
        <v>0</v>
      </c>
    </row>
    <row r="7" spans="1:74" ht="10.15" hidden="1" customHeight="1" x14ac:dyDescent="0.2">
      <c r="A7" s="24"/>
      <c r="B7" s="24" t="s">
        <v>77</v>
      </c>
      <c r="C7" s="24"/>
      <c r="D7" s="25"/>
      <c r="E7" s="47">
        <f>E6</f>
        <v>3790</v>
      </c>
      <c r="F7" s="26">
        <f>F6</f>
        <v>0</v>
      </c>
      <c r="G7" s="26">
        <f t="shared" ref="G7:Q7" si="13">G6</f>
        <v>0</v>
      </c>
      <c r="H7" s="26">
        <f t="shared" si="13"/>
        <v>0</v>
      </c>
      <c r="I7" s="26">
        <f t="shared" si="13"/>
        <v>0</v>
      </c>
      <c r="J7" s="26">
        <f t="shared" si="13"/>
        <v>0</v>
      </c>
      <c r="K7" s="26">
        <f t="shared" si="13"/>
        <v>0</v>
      </c>
      <c r="L7" s="26">
        <f t="shared" si="13"/>
        <v>0</v>
      </c>
      <c r="M7" s="26">
        <f t="shared" si="13"/>
        <v>0</v>
      </c>
      <c r="N7" s="26">
        <f t="shared" si="13"/>
        <v>0</v>
      </c>
      <c r="O7" s="26">
        <f t="shared" si="13"/>
        <v>0</v>
      </c>
      <c r="P7" s="26">
        <f t="shared" si="13"/>
        <v>0</v>
      </c>
      <c r="Q7" s="26">
        <f t="shared" si="13"/>
        <v>0</v>
      </c>
      <c r="R7" s="27">
        <f>Q7</f>
        <v>0</v>
      </c>
      <c r="S7" s="26">
        <f>S6</f>
        <v>0</v>
      </c>
      <c r="T7" s="26">
        <f>T6</f>
        <v>0</v>
      </c>
      <c r="U7" s="26">
        <f>U6</f>
        <v>0</v>
      </c>
      <c r="W7" s="23">
        <f>IF($B41=9%,E41-E41*E38,0)</f>
        <v>0</v>
      </c>
      <c r="X7" s="23">
        <f t="shared" ref="X7:AI7" si="14">IF($B41=9%,F41-F41*F38,0)</f>
        <v>0</v>
      </c>
      <c r="Y7" s="23">
        <f t="shared" si="14"/>
        <v>0</v>
      </c>
      <c r="Z7" s="23">
        <f t="shared" si="14"/>
        <v>0</v>
      </c>
      <c r="AA7" s="23">
        <f t="shared" si="14"/>
        <v>0</v>
      </c>
      <c r="AB7" s="23">
        <f t="shared" si="14"/>
        <v>0</v>
      </c>
      <c r="AC7" s="23">
        <f t="shared" si="14"/>
        <v>0</v>
      </c>
      <c r="AD7" s="23">
        <f t="shared" si="14"/>
        <v>0</v>
      </c>
      <c r="AE7" s="23">
        <f t="shared" si="14"/>
        <v>0</v>
      </c>
      <c r="AF7" s="23">
        <f t="shared" si="14"/>
        <v>0</v>
      </c>
      <c r="AG7" s="23">
        <f t="shared" si="14"/>
        <v>0</v>
      </c>
      <c r="AH7" s="23">
        <f t="shared" si="14"/>
        <v>0</v>
      </c>
      <c r="AI7" s="23">
        <f t="shared" si="14"/>
        <v>0</v>
      </c>
      <c r="AJ7" s="23">
        <f t="shared" si="6"/>
        <v>0</v>
      </c>
      <c r="AK7" s="23">
        <f>IF($B41=9%,S41-S41*S38,0)</f>
        <v>0</v>
      </c>
      <c r="AL7" s="23">
        <f>IF($B41=9%,T41-T41*T38,0)</f>
        <v>0</v>
      </c>
      <c r="AM7" s="23">
        <f>IF($B41=9%,U41-U41*U38,0)</f>
        <v>0</v>
      </c>
    </row>
    <row r="8" spans="1:74" s="19" customFormat="1" ht="10.15" hidden="1" customHeight="1" x14ac:dyDescent="0.2">
      <c r="A8" s="24"/>
      <c r="B8" s="24" t="s">
        <v>78</v>
      </c>
      <c r="C8" s="24"/>
      <c r="D8" s="25"/>
      <c r="E8" s="47">
        <f>E5+E6</f>
        <v>41690</v>
      </c>
      <c r="F8" s="26">
        <f>F5+F6</f>
        <v>0</v>
      </c>
      <c r="G8" s="26">
        <f>G5+G6-F7</f>
        <v>0</v>
      </c>
      <c r="H8" s="26">
        <f t="shared" ref="H8:Q8" si="15">H5+H6-G7</f>
        <v>0</v>
      </c>
      <c r="I8" s="26">
        <f t="shared" si="15"/>
        <v>0</v>
      </c>
      <c r="J8" s="26">
        <f t="shared" si="15"/>
        <v>0</v>
      </c>
      <c r="K8" s="26">
        <f t="shared" si="15"/>
        <v>0</v>
      </c>
      <c r="L8" s="26">
        <f t="shared" si="15"/>
        <v>0</v>
      </c>
      <c r="M8" s="26">
        <f t="shared" si="15"/>
        <v>0</v>
      </c>
      <c r="N8" s="26">
        <f t="shared" si="15"/>
        <v>0</v>
      </c>
      <c r="O8" s="26">
        <f t="shared" si="15"/>
        <v>0</v>
      </c>
      <c r="P8" s="26">
        <f t="shared" si="15"/>
        <v>0</v>
      </c>
      <c r="Q8" s="26">
        <f t="shared" si="15"/>
        <v>0</v>
      </c>
      <c r="R8" s="27">
        <f>SUM(F8:Q8)</f>
        <v>0</v>
      </c>
      <c r="S8" s="26">
        <f>S5+S6-Q7</f>
        <v>0</v>
      </c>
      <c r="T8" s="26">
        <f>T5+T6-S7</f>
        <v>0</v>
      </c>
      <c r="U8" s="26">
        <f>U5+U6-T7</f>
        <v>0</v>
      </c>
      <c r="W8" s="23">
        <f>IF($B46=9%,E46-E46*E43,0)</f>
        <v>0</v>
      </c>
      <c r="X8" s="23">
        <f t="shared" ref="X8:AI8" si="16">IF($B46=9%,F46-F46*F43,0)</f>
        <v>0</v>
      </c>
      <c r="Y8" s="23">
        <f t="shared" si="16"/>
        <v>0</v>
      </c>
      <c r="Z8" s="23">
        <f t="shared" si="16"/>
        <v>0</v>
      </c>
      <c r="AA8" s="23">
        <f t="shared" si="16"/>
        <v>0</v>
      </c>
      <c r="AB8" s="23">
        <f t="shared" si="16"/>
        <v>0</v>
      </c>
      <c r="AC8" s="23">
        <f t="shared" si="16"/>
        <v>0</v>
      </c>
      <c r="AD8" s="23">
        <f t="shared" si="16"/>
        <v>0</v>
      </c>
      <c r="AE8" s="23">
        <f t="shared" si="16"/>
        <v>0</v>
      </c>
      <c r="AF8" s="23">
        <f t="shared" si="16"/>
        <v>0</v>
      </c>
      <c r="AG8" s="23">
        <f t="shared" si="16"/>
        <v>0</v>
      </c>
      <c r="AH8" s="23">
        <f t="shared" si="16"/>
        <v>0</v>
      </c>
      <c r="AI8" s="23">
        <f t="shared" si="16"/>
        <v>0</v>
      </c>
      <c r="AJ8" s="23">
        <f t="shared" si="6"/>
        <v>0</v>
      </c>
      <c r="AK8" s="23">
        <f>IF($B46=9%,S46-S46*S43,0)</f>
        <v>0</v>
      </c>
      <c r="AL8" s="23">
        <f>IF($B46=9%,T46-T46*T43,0)</f>
        <v>0</v>
      </c>
      <c r="AM8" s="23">
        <f>IF($B46=9%,U46-U46*U43,0)</f>
        <v>0</v>
      </c>
    </row>
    <row r="9" spans="1:74" s="19" customFormat="1" ht="10.15" hidden="1" customHeight="1" x14ac:dyDescent="0.2">
      <c r="A9" s="24"/>
      <c r="B9" s="24" t="s">
        <v>79</v>
      </c>
      <c r="C9" s="24"/>
      <c r="D9" s="25"/>
      <c r="E9" s="47">
        <f>SUM(W2:W11)</f>
        <v>7000</v>
      </c>
      <c r="F9" s="26">
        <f>SUM(X2:X11)</f>
        <v>0</v>
      </c>
      <c r="G9" s="26">
        <f t="shared" ref="G9:S9" si="17">SUM(Y2:Y11)</f>
        <v>0</v>
      </c>
      <c r="H9" s="26">
        <f t="shared" si="17"/>
        <v>0</v>
      </c>
      <c r="I9" s="26">
        <f t="shared" si="17"/>
        <v>0</v>
      </c>
      <c r="J9" s="26">
        <f t="shared" si="17"/>
        <v>0</v>
      </c>
      <c r="K9" s="26">
        <f t="shared" si="17"/>
        <v>0</v>
      </c>
      <c r="L9" s="26">
        <f t="shared" si="17"/>
        <v>0</v>
      </c>
      <c r="M9" s="26">
        <f t="shared" si="17"/>
        <v>0</v>
      </c>
      <c r="N9" s="26">
        <f t="shared" si="17"/>
        <v>0</v>
      </c>
      <c r="O9" s="26">
        <f t="shared" si="17"/>
        <v>0</v>
      </c>
      <c r="P9" s="26">
        <f t="shared" si="17"/>
        <v>0</v>
      </c>
      <c r="Q9" s="26">
        <f t="shared" si="17"/>
        <v>0</v>
      </c>
      <c r="R9" s="27">
        <f>SUM(F9:Q9)</f>
        <v>0</v>
      </c>
      <c r="S9" s="26">
        <f t="shared" si="17"/>
        <v>0</v>
      </c>
      <c r="T9" s="26">
        <f>SUM(AL2:AL11)</f>
        <v>0</v>
      </c>
      <c r="U9" s="26">
        <f>SUM(AM2:AM11)</f>
        <v>0</v>
      </c>
      <c r="W9" s="19">
        <f>IF($B51=9%,E51-E51*E48,0)</f>
        <v>0</v>
      </c>
      <c r="X9" s="19">
        <f t="shared" ref="X9:AI9" si="18">IF($B51=9%,F51-F51*F48,0)</f>
        <v>0</v>
      </c>
      <c r="Y9" s="19">
        <f t="shared" si="18"/>
        <v>0</v>
      </c>
      <c r="Z9" s="19">
        <f t="shared" si="18"/>
        <v>0</v>
      </c>
      <c r="AA9" s="19">
        <f t="shared" si="18"/>
        <v>0</v>
      </c>
      <c r="AB9" s="19">
        <f t="shared" si="18"/>
        <v>0</v>
      </c>
      <c r="AC9" s="19">
        <f t="shared" si="18"/>
        <v>0</v>
      </c>
      <c r="AD9" s="19">
        <f t="shared" si="18"/>
        <v>0</v>
      </c>
      <c r="AE9" s="19">
        <f t="shared" si="18"/>
        <v>0</v>
      </c>
      <c r="AF9" s="19">
        <f t="shared" si="18"/>
        <v>0</v>
      </c>
      <c r="AG9" s="19">
        <f t="shared" si="18"/>
        <v>0</v>
      </c>
      <c r="AH9" s="19">
        <f t="shared" si="18"/>
        <v>0</v>
      </c>
      <c r="AI9" s="19">
        <f t="shared" si="18"/>
        <v>0</v>
      </c>
      <c r="AJ9" s="23">
        <f t="shared" si="6"/>
        <v>0</v>
      </c>
      <c r="AK9" s="19">
        <f>IF($B51=9%,S51-S51*S48,0)</f>
        <v>0</v>
      </c>
      <c r="AL9" s="19">
        <f>IF($B51=9%,T51-T51*T48,0)</f>
        <v>0</v>
      </c>
      <c r="AM9" s="19">
        <f>IF($B51=9%,U51-U51*U48,0)</f>
        <v>0</v>
      </c>
    </row>
    <row r="10" spans="1:74" s="19" customFormat="1" ht="10.15" hidden="1" customHeight="1" x14ac:dyDescent="0.2">
      <c r="A10" s="24"/>
      <c r="B10" s="24" t="s">
        <v>80</v>
      </c>
      <c r="C10" s="24"/>
      <c r="D10" s="25"/>
      <c r="E10" s="47">
        <f t="shared" ref="E10" si="19">E13*E16+E18*E21+E23*E26+E28*E31+E33*E36+E38*E41+E43*E46+E48*E51+E53*E56+E58*E61</f>
        <v>12000</v>
      </c>
      <c r="F10" s="26">
        <f t="shared" ref="F10:Q10" si="20">F13*F16+F18*F21+F23*F26+F28*F31+F33*F36+F38*F41+F43*F46+F48*F51+F53*F56+F58*F61</f>
        <v>0</v>
      </c>
      <c r="G10" s="26">
        <f t="shared" si="20"/>
        <v>0</v>
      </c>
      <c r="H10" s="26">
        <f t="shared" si="20"/>
        <v>0</v>
      </c>
      <c r="I10" s="26">
        <f t="shared" si="20"/>
        <v>0</v>
      </c>
      <c r="J10" s="26">
        <f t="shared" si="20"/>
        <v>0</v>
      </c>
      <c r="K10" s="26">
        <f t="shared" si="20"/>
        <v>0</v>
      </c>
      <c r="L10" s="26">
        <f t="shared" si="20"/>
        <v>0</v>
      </c>
      <c r="M10" s="26">
        <f t="shared" si="20"/>
        <v>0</v>
      </c>
      <c r="N10" s="26">
        <f t="shared" si="20"/>
        <v>0</v>
      </c>
      <c r="O10" s="26">
        <f t="shared" si="20"/>
        <v>0</v>
      </c>
      <c r="P10" s="26">
        <f t="shared" si="20"/>
        <v>0</v>
      </c>
      <c r="Q10" s="26">
        <f t="shared" si="20"/>
        <v>0</v>
      </c>
      <c r="R10" s="27">
        <f>SUM(F10:Q10)</f>
        <v>0</v>
      </c>
      <c r="S10" s="26">
        <f>S13*S16+S18*S21+S23*S26+S28*S31+S33*S36+S38*S41+S43*S46+S48*S51+S53*S56+S58*S61</f>
        <v>0</v>
      </c>
      <c r="T10" s="26">
        <f>T13*T16+T18*T21+T23*T26+T28*T31+T33*T36+T38*T41+T43*T46+T48*T51+T53*T56+T58*T61</f>
        <v>0</v>
      </c>
      <c r="U10" s="26">
        <f>U13*U16+U18*U21+U23*U26+U28*U31+U33*U36+U38*U41+U43*U46+U48*U51+U53*U56+U58*U61</f>
        <v>0</v>
      </c>
      <c r="W10" s="19">
        <f>IF($B56=9%,E56-E56*E53,0)</f>
        <v>0</v>
      </c>
      <c r="X10" s="19">
        <f t="shared" ref="X10:AI10" si="21">IF($B56=9%,F56-F56*F53,0)</f>
        <v>0</v>
      </c>
      <c r="Y10" s="19">
        <f t="shared" si="21"/>
        <v>0</v>
      </c>
      <c r="Z10" s="19">
        <f t="shared" si="21"/>
        <v>0</v>
      </c>
      <c r="AA10" s="19">
        <f t="shared" si="21"/>
        <v>0</v>
      </c>
      <c r="AB10" s="19">
        <f t="shared" si="21"/>
        <v>0</v>
      </c>
      <c r="AC10" s="19">
        <f t="shared" si="21"/>
        <v>0</v>
      </c>
      <c r="AD10" s="19">
        <f t="shared" si="21"/>
        <v>0</v>
      </c>
      <c r="AE10" s="19">
        <f t="shared" si="21"/>
        <v>0</v>
      </c>
      <c r="AF10" s="19">
        <f t="shared" si="21"/>
        <v>0</v>
      </c>
      <c r="AG10" s="19">
        <f t="shared" si="21"/>
        <v>0</v>
      </c>
      <c r="AH10" s="19">
        <f t="shared" si="21"/>
        <v>0</v>
      </c>
      <c r="AI10" s="19">
        <f t="shared" si="21"/>
        <v>0</v>
      </c>
      <c r="AJ10" s="23">
        <f t="shared" si="6"/>
        <v>0</v>
      </c>
      <c r="AK10" s="19">
        <f>IF($B56=9%,S56-S56*S53,0)</f>
        <v>0</v>
      </c>
      <c r="AL10" s="19">
        <f>IF($B56=9%,T56-T56*T53,0)</f>
        <v>0</v>
      </c>
      <c r="AM10" s="19">
        <f>IF($B56=9%,U56-U56*U53,0)</f>
        <v>0</v>
      </c>
    </row>
    <row r="11" spans="1:74" s="19" customFormat="1" ht="10.9" hidden="1" customHeight="1" thickBot="1" x14ac:dyDescent="0.25">
      <c r="A11" s="28"/>
      <c r="B11" s="28"/>
      <c r="C11" s="28"/>
      <c r="D11" s="29"/>
      <c r="E11" s="48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1"/>
      <c r="S11" s="30"/>
      <c r="T11" s="30"/>
      <c r="U11" s="30"/>
      <c r="W11" s="19">
        <f>IF($B61=9%,E61-E61*E58,0)</f>
        <v>0</v>
      </c>
      <c r="X11" s="19">
        <f t="shared" ref="X11:AI11" si="22">IF($B61=9%,F61-F61*F58,0)</f>
        <v>0</v>
      </c>
      <c r="Y11" s="19">
        <f t="shared" si="22"/>
        <v>0</v>
      </c>
      <c r="Z11" s="19">
        <f t="shared" si="22"/>
        <v>0</v>
      </c>
      <c r="AA11" s="19">
        <f t="shared" si="22"/>
        <v>0</v>
      </c>
      <c r="AB11" s="19">
        <f t="shared" si="22"/>
        <v>0</v>
      </c>
      <c r="AC11" s="19">
        <f t="shared" si="22"/>
        <v>0</v>
      </c>
      <c r="AD11" s="19">
        <f t="shared" si="22"/>
        <v>0</v>
      </c>
      <c r="AE11" s="19">
        <f t="shared" si="22"/>
        <v>0</v>
      </c>
      <c r="AF11" s="19">
        <f t="shared" si="22"/>
        <v>0</v>
      </c>
      <c r="AG11" s="19">
        <f t="shared" si="22"/>
        <v>0</v>
      </c>
      <c r="AH11" s="19">
        <f t="shared" si="22"/>
        <v>0</v>
      </c>
      <c r="AI11" s="19">
        <f t="shared" si="22"/>
        <v>0</v>
      </c>
      <c r="AJ11" s="23">
        <f t="shared" si="6"/>
        <v>0</v>
      </c>
      <c r="AK11" s="19">
        <f>IF($B61=9%,S61-S61*S58,0)</f>
        <v>0</v>
      </c>
      <c r="AL11" s="19">
        <f>IF($B61=9%,T61-T61*T58,0)</f>
        <v>0</v>
      </c>
      <c r="AM11" s="19">
        <f>IF($B61=9%,U61-U61*U58,0)</f>
        <v>0</v>
      </c>
    </row>
    <row r="12" spans="1:74" s="33" customFormat="1" ht="21" customHeight="1" thickTop="1" x14ac:dyDescent="0.2">
      <c r="A12" s="375">
        <v>1</v>
      </c>
      <c r="B12" s="381" t="s">
        <v>81</v>
      </c>
      <c r="C12" s="382"/>
      <c r="D12" s="32" t="s">
        <v>82</v>
      </c>
      <c r="E12" s="49">
        <v>2</v>
      </c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40">
        <f>SUM(F12:Q12)</f>
        <v>0</v>
      </c>
      <c r="S12" s="239"/>
      <c r="T12" s="239"/>
      <c r="U12" s="241"/>
    </row>
    <row r="13" spans="1:74" s="33" customFormat="1" ht="10.15" customHeight="1" x14ac:dyDescent="0.2">
      <c r="A13" s="376"/>
      <c r="B13" s="383"/>
      <c r="C13" s="383"/>
      <c r="D13" s="34" t="s">
        <v>83</v>
      </c>
      <c r="E13" s="50">
        <v>0.5</v>
      </c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2"/>
      <c r="S13" s="161"/>
      <c r="T13" s="161"/>
      <c r="U13" s="163"/>
    </row>
    <row r="14" spans="1:74" s="33" customFormat="1" ht="20.45" customHeight="1" x14ac:dyDescent="0.2">
      <c r="A14" s="376"/>
      <c r="B14" s="383"/>
      <c r="C14" s="383"/>
      <c r="D14" s="35" t="s">
        <v>84</v>
      </c>
      <c r="E14" s="47">
        <v>12000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6"/>
      <c r="S14" s="55"/>
      <c r="T14" s="55"/>
      <c r="U14" s="55"/>
    </row>
    <row r="15" spans="1:74" s="33" customFormat="1" ht="56.25" x14ac:dyDescent="0.2">
      <c r="A15" s="376"/>
      <c r="B15" s="36" t="s">
        <v>85</v>
      </c>
      <c r="C15" s="36" t="s">
        <v>86</v>
      </c>
      <c r="D15" s="35" t="s">
        <v>87</v>
      </c>
      <c r="E15" s="47">
        <v>8000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6"/>
      <c r="S15" s="55"/>
      <c r="T15" s="55"/>
      <c r="U15" s="57"/>
    </row>
    <row r="16" spans="1:74" s="33" customFormat="1" ht="23.25" thickBot="1" x14ac:dyDescent="0.25">
      <c r="A16" s="377"/>
      <c r="B16" s="37">
        <v>0.2</v>
      </c>
      <c r="C16" s="37">
        <v>0.1</v>
      </c>
      <c r="D16" s="38" t="s">
        <v>88</v>
      </c>
      <c r="E16" s="51">
        <f>E12*E14</f>
        <v>24000</v>
      </c>
      <c r="F16" s="58">
        <f>F12*F14</f>
        <v>0</v>
      </c>
      <c r="G16" s="58">
        <f t="shared" ref="G16:U16" si="23">G12*G14</f>
        <v>0</v>
      </c>
      <c r="H16" s="58">
        <f t="shared" si="23"/>
        <v>0</v>
      </c>
      <c r="I16" s="58">
        <f t="shared" si="23"/>
        <v>0</v>
      </c>
      <c r="J16" s="58">
        <f t="shared" si="23"/>
        <v>0</v>
      </c>
      <c r="K16" s="58">
        <f t="shared" si="23"/>
        <v>0</v>
      </c>
      <c r="L16" s="58">
        <f t="shared" si="23"/>
        <v>0</v>
      </c>
      <c r="M16" s="58">
        <f t="shared" si="23"/>
        <v>0</v>
      </c>
      <c r="N16" s="58">
        <f t="shared" si="23"/>
        <v>0</v>
      </c>
      <c r="O16" s="58">
        <f t="shared" si="23"/>
        <v>0</v>
      </c>
      <c r="P16" s="58">
        <f t="shared" si="23"/>
        <v>0</v>
      </c>
      <c r="Q16" s="58">
        <f t="shared" si="23"/>
        <v>0</v>
      </c>
      <c r="R16" s="59">
        <f>SUM(F16:Q16)</f>
        <v>0</v>
      </c>
      <c r="S16" s="58">
        <f t="shared" si="23"/>
        <v>0</v>
      </c>
      <c r="T16" s="58">
        <f t="shared" si="23"/>
        <v>0</v>
      </c>
      <c r="U16" s="60">
        <f t="shared" si="23"/>
        <v>0</v>
      </c>
    </row>
    <row r="17" spans="1:22" s="33" customFormat="1" ht="21" customHeight="1" thickTop="1" x14ac:dyDescent="0.2">
      <c r="A17" s="375">
        <v>2</v>
      </c>
      <c r="B17" s="381" t="s">
        <v>89</v>
      </c>
      <c r="C17" s="382"/>
      <c r="D17" s="32" t="s">
        <v>82</v>
      </c>
      <c r="E17" s="49">
        <v>15</v>
      </c>
      <c r="F17" s="54"/>
      <c r="G17" s="54"/>
      <c r="H17" s="54"/>
      <c r="I17" s="54"/>
      <c r="J17" s="236"/>
      <c r="K17" s="236"/>
      <c r="L17" s="236"/>
      <c r="M17" s="236"/>
      <c r="N17" s="236"/>
      <c r="O17" s="236"/>
      <c r="P17" s="236"/>
      <c r="Q17" s="236"/>
      <c r="R17" s="237">
        <f>SUM(F17:Q17)</f>
        <v>0</v>
      </c>
      <c r="S17" s="236"/>
      <c r="T17" s="236"/>
      <c r="U17" s="238"/>
    </row>
    <row r="18" spans="1:22" s="33" customFormat="1" ht="10.15" customHeight="1" x14ac:dyDescent="0.2">
      <c r="A18" s="376"/>
      <c r="B18" s="383"/>
      <c r="C18" s="383"/>
      <c r="D18" s="34" t="s">
        <v>83</v>
      </c>
      <c r="E18" s="50">
        <v>0</v>
      </c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2"/>
      <c r="S18" s="161"/>
      <c r="T18" s="161"/>
      <c r="U18" s="163"/>
    </row>
    <row r="19" spans="1:22" s="33" customFormat="1" ht="20.45" customHeight="1" x14ac:dyDescent="0.2">
      <c r="A19" s="376"/>
      <c r="B19" s="383"/>
      <c r="C19" s="383"/>
      <c r="D19" s="35" t="s">
        <v>84</v>
      </c>
      <c r="E19" s="47">
        <v>3000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6"/>
      <c r="S19" s="55"/>
      <c r="T19" s="55"/>
      <c r="U19" s="57"/>
    </row>
    <row r="20" spans="1:22" s="33" customFormat="1" ht="56.25" x14ac:dyDescent="0.2">
      <c r="A20" s="376"/>
      <c r="B20" s="36" t="s">
        <v>85</v>
      </c>
      <c r="C20" s="36" t="s">
        <v>86</v>
      </c>
      <c r="D20" s="35" t="s">
        <v>90</v>
      </c>
      <c r="E20" s="47">
        <v>1400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  <c r="S20" s="55"/>
      <c r="T20" s="55"/>
      <c r="U20" s="57"/>
    </row>
    <row r="21" spans="1:22" s="33" customFormat="1" ht="23.25" thickBot="1" x14ac:dyDescent="0.25">
      <c r="A21" s="377"/>
      <c r="B21" s="37">
        <v>0.2</v>
      </c>
      <c r="C21" s="37">
        <v>0.1</v>
      </c>
      <c r="D21" s="38" t="s">
        <v>91</v>
      </c>
      <c r="E21" s="51">
        <f>E17*E19</f>
        <v>45000</v>
      </c>
      <c r="F21" s="58">
        <f t="shared" ref="F21:Q21" si="24">F17*F19</f>
        <v>0</v>
      </c>
      <c r="G21" s="58">
        <f t="shared" si="24"/>
        <v>0</v>
      </c>
      <c r="H21" s="58">
        <f t="shared" si="24"/>
        <v>0</v>
      </c>
      <c r="I21" s="58">
        <f t="shared" si="24"/>
        <v>0</v>
      </c>
      <c r="J21" s="58">
        <f t="shared" si="24"/>
        <v>0</v>
      </c>
      <c r="K21" s="58">
        <f t="shared" si="24"/>
        <v>0</v>
      </c>
      <c r="L21" s="58">
        <f t="shared" si="24"/>
        <v>0</v>
      </c>
      <c r="M21" s="58">
        <f t="shared" si="24"/>
        <v>0</v>
      </c>
      <c r="N21" s="58">
        <f t="shared" si="24"/>
        <v>0</v>
      </c>
      <c r="O21" s="58">
        <f t="shared" si="24"/>
        <v>0</v>
      </c>
      <c r="P21" s="58">
        <f t="shared" si="24"/>
        <v>0</v>
      </c>
      <c r="Q21" s="58">
        <f t="shared" si="24"/>
        <v>0</v>
      </c>
      <c r="R21" s="59">
        <f>SUM(F21:Q21)</f>
        <v>0</v>
      </c>
      <c r="S21" s="58">
        <f>S17*S19</f>
        <v>0</v>
      </c>
      <c r="T21" s="58">
        <f>T17*T19</f>
        <v>0</v>
      </c>
      <c r="U21" s="60">
        <f>U17*U19</f>
        <v>0</v>
      </c>
    </row>
    <row r="22" spans="1:22" ht="10.9" customHeight="1" thickTop="1" x14ac:dyDescent="0.2">
      <c r="A22" s="378">
        <v>3</v>
      </c>
      <c r="B22" s="372" t="s">
        <v>92</v>
      </c>
      <c r="C22" s="373"/>
      <c r="D22" s="39" t="s">
        <v>82</v>
      </c>
      <c r="E22" s="49">
        <v>20</v>
      </c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3">
        <f>SUM(F22:Q22)</f>
        <v>0</v>
      </c>
      <c r="S22" s="242"/>
      <c r="T22" s="242"/>
      <c r="U22" s="244"/>
    </row>
    <row r="23" spans="1:22" ht="10.15" customHeight="1" x14ac:dyDescent="0.2">
      <c r="A23" s="379"/>
      <c r="B23" s="374"/>
      <c r="C23" s="374"/>
      <c r="D23" s="40" t="s">
        <v>83</v>
      </c>
      <c r="E23" s="50">
        <v>0</v>
      </c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2"/>
      <c r="S23" s="161"/>
      <c r="T23" s="161"/>
      <c r="U23" s="163"/>
    </row>
    <row r="24" spans="1:22" ht="20.45" customHeight="1" x14ac:dyDescent="0.2">
      <c r="A24" s="379"/>
      <c r="B24" s="374"/>
      <c r="C24" s="374"/>
      <c r="D24" s="35" t="s">
        <v>84</v>
      </c>
      <c r="E24" s="47">
        <v>350</v>
      </c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2"/>
      <c r="S24" s="61"/>
      <c r="T24" s="61"/>
      <c r="U24" s="63"/>
    </row>
    <row r="25" spans="1:22" ht="56.25" x14ac:dyDescent="0.2">
      <c r="A25" s="379"/>
      <c r="B25" s="41" t="s">
        <v>85</v>
      </c>
      <c r="C25" s="41" t="s">
        <v>86</v>
      </c>
      <c r="D25" s="15" t="s">
        <v>90</v>
      </c>
      <c r="E25" s="47">
        <v>0</v>
      </c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2"/>
      <c r="S25" s="61"/>
      <c r="T25" s="61"/>
      <c r="U25" s="63"/>
    </row>
    <row r="26" spans="1:22" ht="23.25" thickBot="1" x14ac:dyDescent="0.25">
      <c r="A26" s="380"/>
      <c r="B26" s="42">
        <v>0.09</v>
      </c>
      <c r="C26" s="42">
        <v>0</v>
      </c>
      <c r="D26" s="38" t="s">
        <v>93</v>
      </c>
      <c r="E26" s="51">
        <f>E22*E24</f>
        <v>7000</v>
      </c>
      <c r="F26" s="58">
        <f t="shared" ref="F26:Q26" si="25">F22*F24</f>
        <v>0</v>
      </c>
      <c r="G26" s="58">
        <f t="shared" si="25"/>
        <v>0</v>
      </c>
      <c r="H26" s="58">
        <f t="shared" si="25"/>
        <v>0</v>
      </c>
      <c r="I26" s="58">
        <f t="shared" si="25"/>
        <v>0</v>
      </c>
      <c r="J26" s="58">
        <f t="shared" si="25"/>
        <v>0</v>
      </c>
      <c r="K26" s="58">
        <f t="shared" si="25"/>
        <v>0</v>
      </c>
      <c r="L26" s="58">
        <f t="shared" si="25"/>
        <v>0</v>
      </c>
      <c r="M26" s="58">
        <f t="shared" si="25"/>
        <v>0</v>
      </c>
      <c r="N26" s="58">
        <f t="shared" si="25"/>
        <v>0</v>
      </c>
      <c r="O26" s="58">
        <f t="shared" si="25"/>
        <v>0</v>
      </c>
      <c r="P26" s="58">
        <f t="shared" si="25"/>
        <v>0</v>
      </c>
      <c r="Q26" s="58">
        <f t="shared" si="25"/>
        <v>0</v>
      </c>
      <c r="R26" s="59">
        <f>SUM(F26:Q26)</f>
        <v>0</v>
      </c>
      <c r="S26" s="58">
        <f>S22*S24</f>
        <v>0</v>
      </c>
      <c r="T26" s="58">
        <f>T22*T24</f>
        <v>0</v>
      </c>
      <c r="U26" s="60">
        <f>U22*U24</f>
        <v>0</v>
      </c>
    </row>
    <row r="27" spans="1:22" ht="21" customHeight="1" thickTop="1" x14ac:dyDescent="0.2">
      <c r="A27" s="378">
        <v>4</v>
      </c>
      <c r="B27" s="372" t="s">
        <v>94</v>
      </c>
      <c r="C27" s="373"/>
      <c r="D27" s="39" t="s">
        <v>82</v>
      </c>
      <c r="E27" s="49">
        <v>30</v>
      </c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3">
        <f>SUM(F27:Q27)</f>
        <v>0</v>
      </c>
      <c r="S27" s="242"/>
      <c r="T27" s="242"/>
      <c r="U27" s="244"/>
    </row>
    <row r="28" spans="1:22" ht="10.15" customHeight="1" x14ac:dyDescent="0.2">
      <c r="A28" s="379"/>
      <c r="B28" s="374"/>
      <c r="C28" s="374"/>
      <c r="D28" s="40" t="s">
        <v>83</v>
      </c>
      <c r="E28" s="50">
        <v>0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2"/>
      <c r="S28" s="161"/>
      <c r="T28" s="161"/>
      <c r="U28" s="163"/>
    </row>
    <row r="29" spans="1:22" ht="20.45" customHeight="1" x14ac:dyDescent="0.2">
      <c r="A29" s="379"/>
      <c r="B29" s="374"/>
      <c r="C29" s="374"/>
      <c r="D29" s="35" t="s">
        <v>84</v>
      </c>
      <c r="E29" s="47">
        <v>50</v>
      </c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2"/>
      <c r="S29" s="61"/>
      <c r="T29" s="61"/>
      <c r="U29" s="63"/>
    </row>
    <row r="30" spans="1:22" ht="56.25" x14ac:dyDescent="0.2">
      <c r="A30" s="379"/>
      <c r="B30" s="41" t="s">
        <v>85</v>
      </c>
      <c r="C30" s="41" t="s">
        <v>86</v>
      </c>
      <c r="D30" s="15" t="s">
        <v>95</v>
      </c>
      <c r="E30" s="47">
        <v>30</v>
      </c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2"/>
      <c r="S30" s="61"/>
      <c r="T30" s="61"/>
      <c r="U30" s="63"/>
    </row>
    <row r="31" spans="1:22" ht="23.25" thickBot="1" x14ac:dyDescent="0.25">
      <c r="A31" s="380"/>
      <c r="B31" s="42">
        <v>0.2</v>
      </c>
      <c r="C31" s="42">
        <v>0.1</v>
      </c>
      <c r="D31" s="38" t="s">
        <v>96</v>
      </c>
      <c r="E31" s="51">
        <f>E27*E29</f>
        <v>1500</v>
      </c>
      <c r="F31" s="58">
        <f t="shared" ref="F31:Q31" si="26">F27*F29</f>
        <v>0</v>
      </c>
      <c r="G31" s="58">
        <f t="shared" si="26"/>
        <v>0</v>
      </c>
      <c r="H31" s="58">
        <f t="shared" si="26"/>
        <v>0</v>
      </c>
      <c r="I31" s="58">
        <f t="shared" si="26"/>
        <v>0</v>
      </c>
      <c r="J31" s="58">
        <f t="shared" si="26"/>
        <v>0</v>
      </c>
      <c r="K31" s="58">
        <f t="shared" si="26"/>
        <v>0</v>
      </c>
      <c r="L31" s="58">
        <f t="shared" si="26"/>
        <v>0</v>
      </c>
      <c r="M31" s="58">
        <f t="shared" si="26"/>
        <v>0</v>
      </c>
      <c r="N31" s="58">
        <f t="shared" si="26"/>
        <v>0</v>
      </c>
      <c r="O31" s="58">
        <f t="shared" si="26"/>
        <v>0</v>
      </c>
      <c r="P31" s="58">
        <f t="shared" si="26"/>
        <v>0</v>
      </c>
      <c r="Q31" s="58">
        <f t="shared" si="26"/>
        <v>0</v>
      </c>
      <c r="R31" s="59">
        <f>SUM(F31:Q31)</f>
        <v>0</v>
      </c>
      <c r="S31" s="58">
        <f>S27*S29</f>
        <v>0</v>
      </c>
      <c r="T31" s="58">
        <f>T27*T29</f>
        <v>0</v>
      </c>
      <c r="U31" s="60">
        <f>U27*U29</f>
        <v>0</v>
      </c>
    </row>
    <row r="32" spans="1:22" ht="21" customHeight="1" thickTop="1" x14ac:dyDescent="0.2">
      <c r="A32" s="378">
        <v>5</v>
      </c>
      <c r="B32" s="372"/>
      <c r="C32" s="373"/>
      <c r="D32" s="39" t="s">
        <v>82</v>
      </c>
      <c r="E32" s="49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6">
        <f>SUM(F32:Q32)</f>
        <v>0</v>
      </c>
      <c r="S32" s="245"/>
      <c r="T32" s="245"/>
      <c r="U32" s="247"/>
      <c r="V32" s="248"/>
    </row>
    <row r="33" spans="1:22" ht="10.15" customHeight="1" x14ac:dyDescent="0.2">
      <c r="A33" s="379"/>
      <c r="B33" s="374"/>
      <c r="C33" s="374"/>
      <c r="D33" s="40" t="s">
        <v>83</v>
      </c>
      <c r="E33" s="50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2"/>
      <c r="S33" s="161"/>
      <c r="T33" s="161"/>
      <c r="U33" s="163"/>
    </row>
    <row r="34" spans="1:22" ht="20.45" customHeight="1" x14ac:dyDescent="0.2">
      <c r="A34" s="379"/>
      <c r="B34" s="374"/>
      <c r="C34" s="374"/>
      <c r="D34" s="33" t="s">
        <v>210</v>
      </c>
      <c r="E34" s="47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2"/>
      <c r="S34" s="61"/>
      <c r="T34" s="61"/>
      <c r="U34" s="63"/>
    </row>
    <row r="35" spans="1:22" ht="56.25" x14ac:dyDescent="0.2">
      <c r="A35" s="379"/>
      <c r="B35" s="41" t="s">
        <v>85</v>
      </c>
      <c r="C35" s="41" t="s">
        <v>86</v>
      </c>
      <c r="D35" s="15" t="s">
        <v>87</v>
      </c>
      <c r="E35" s="47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2"/>
      <c r="S35" s="61"/>
      <c r="T35" s="61"/>
      <c r="U35" s="63"/>
    </row>
    <row r="36" spans="1:22" ht="23.25" thickBot="1" x14ac:dyDescent="0.25">
      <c r="A36" s="380"/>
      <c r="B36" s="42"/>
      <c r="C36" s="42"/>
      <c r="D36" s="38" t="s">
        <v>97</v>
      </c>
      <c r="E36" s="51">
        <f>E32*E34</f>
        <v>0</v>
      </c>
      <c r="F36" s="58">
        <f t="shared" ref="F36:Q36" si="27">F32*F34</f>
        <v>0</v>
      </c>
      <c r="G36" s="58">
        <f t="shared" si="27"/>
        <v>0</v>
      </c>
      <c r="H36" s="58">
        <f t="shared" si="27"/>
        <v>0</v>
      </c>
      <c r="I36" s="58">
        <f t="shared" si="27"/>
        <v>0</v>
      </c>
      <c r="J36" s="58">
        <f t="shared" si="27"/>
        <v>0</v>
      </c>
      <c r="K36" s="58">
        <f t="shared" si="27"/>
        <v>0</v>
      </c>
      <c r="L36" s="58">
        <f t="shared" si="27"/>
        <v>0</v>
      </c>
      <c r="M36" s="58">
        <f t="shared" si="27"/>
        <v>0</v>
      </c>
      <c r="N36" s="58">
        <f t="shared" si="27"/>
        <v>0</v>
      </c>
      <c r="O36" s="58">
        <f t="shared" si="27"/>
        <v>0</v>
      </c>
      <c r="P36" s="58">
        <f t="shared" si="27"/>
        <v>0</v>
      </c>
      <c r="Q36" s="58">
        <f t="shared" si="27"/>
        <v>0</v>
      </c>
      <c r="R36" s="59">
        <f>SUM(F36:Q36)</f>
        <v>0</v>
      </c>
      <c r="S36" s="58">
        <f>S32*S34</f>
        <v>0</v>
      </c>
      <c r="T36" s="58">
        <f>T32*T34</f>
        <v>0</v>
      </c>
      <c r="U36" s="60">
        <f>U32*U34</f>
        <v>0</v>
      </c>
    </row>
    <row r="37" spans="1:22" ht="21" customHeight="1" thickTop="1" x14ac:dyDescent="0.2">
      <c r="A37" s="378">
        <v>6</v>
      </c>
      <c r="B37" s="372"/>
      <c r="C37" s="373"/>
      <c r="D37" s="39" t="s">
        <v>82</v>
      </c>
      <c r="E37" s="49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3">
        <f>SUM(F37:Q37)</f>
        <v>0</v>
      </c>
      <c r="S37" s="242"/>
      <c r="T37" s="242"/>
      <c r="U37" s="244"/>
    </row>
    <row r="38" spans="1:22" ht="10.15" customHeight="1" x14ac:dyDescent="0.2">
      <c r="A38" s="379"/>
      <c r="B38" s="374"/>
      <c r="C38" s="374"/>
      <c r="D38" s="40" t="s">
        <v>83</v>
      </c>
      <c r="E38" s="50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2"/>
      <c r="S38" s="161"/>
      <c r="T38" s="161"/>
      <c r="U38" s="163"/>
    </row>
    <row r="39" spans="1:22" ht="20.45" customHeight="1" x14ac:dyDescent="0.2">
      <c r="A39" s="379"/>
      <c r="B39" s="374"/>
      <c r="C39" s="374"/>
      <c r="D39" s="35" t="s">
        <v>84</v>
      </c>
      <c r="E39" s="47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2"/>
      <c r="S39" s="61"/>
      <c r="T39" s="61"/>
      <c r="U39" s="63"/>
    </row>
    <row r="40" spans="1:22" ht="56.25" x14ac:dyDescent="0.2">
      <c r="A40" s="379"/>
      <c r="B40" s="41" t="s">
        <v>85</v>
      </c>
      <c r="C40" s="41" t="s">
        <v>86</v>
      </c>
      <c r="D40" s="15" t="s">
        <v>90</v>
      </c>
      <c r="E40" s="47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2"/>
      <c r="S40" s="61"/>
      <c r="T40" s="61"/>
      <c r="U40" s="63"/>
    </row>
    <row r="41" spans="1:22" ht="23.25" thickBot="1" x14ac:dyDescent="0.25">
      <c r="A41" s="380"/>
      <c r="B41" s="43"/>
      <c r="C41" s="43"/>
      <c r="D41" s="38" t="s">
        <v>98</v>
      </c>
      <c r="E41" s="51">
        <f>E37*E39</f>
        <v>0</v>
      </c>
      <c r="F41" s="58">
        <f t="shared" ref="F41:Q41" si="28">F37*F39</f>
        <v>0</v>
      </c>
      <c r="G41" s="58">
        <f t="shared" si="28"/>
        <v>0</v>
      </c>
      <c r="H41" s="58">
        <f t="shared" si="28"/>
        <v>0</v>
      </c>
      <c r="I41" s="58">
        <f t="shared" si="28"/>
        <v>0</v>
      </c>
      <c r="J41" s="58">
        <f t="shared" si="28"/>
        <v>0</v>
      </c>
      <c r="K41" s="58">
        <f t="shared" si="28"/>
        <v>0</v>
      </c>
      <c r="L41" s="58">
        <f t="shared" si="28"/>
        <v>0</v>
      </c>
      <c r="M41" s="58">
        <f t="shared" si="28"/>
        <v>0</v>
      </c>
      <c r="N41" s="58">
        <f t="shared" si="28"/>
        <v>0</v>
      </c>
      <c r="O41" s="58">
        <f t="shared" si="28"/>
        <v>0</v>
      </c>
      <c r="P41" s="58">
        <f t="shared" si="28"/>
        <v>0</v>
      </c>
      <c r="Q41" s="58">
        <f t="shared" si="28"/>
        <v>0</v>
      </c>
      <c r="R41" s="59">
        <f>SUM(F41:Q41)</f>
        <v>0</v>
      </c>
      <c r="S41" s="58">
        <f>S37*S39</f>
        <v>0</v>
      </c>
      <c r="T41" s="58">
        <f>T37*T39</f>
        <v>0</v>
      </c>
      <c r="U41" s="60">
        <f>U37*U39</f>
        <v>0</v>
      </c>
    </row>
    <row r="42" spans="1:22" ht="21" customHeight="1" thickTop="1" x14ac:dyDescent="0.2">
      <c r="A42" s="378">
        <v>7</v>
      </c>
      <c r="B42" s="372"/>
      <c r="C42" s="373"/>
      <c r="D42" s="39" t="s">
        <v>82</v>
      </c>
      <c r="E42" s="49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6">
        <f>SUM(F42:Q42)</f>
        <v>0</v>
      </c>
      <c r="S42" s="245"/>
      <c r="T42" s="245"/>
      <c r="U42" s="247"/>
      <c r="V42" s="248"/>
    </row>
    <row r="43" spans="1:22" ht="10.15" customHeight="1" x14ac:dyDescent="0.2">
      <c r="A43" s="379"/>
      <c r="B43" s="374"/>
      <c r="C43" s="374"/>
      <c r="D43" s="40" t="s">
        <v>83</v>
      </c>
      <c r="E43" s="50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2"/>
      <c r="S43" s="161"/>
      <c r="T43" s="161"/>
      <c r="U43" s="163"/>
    </row>
    <row r="44" spans="1:22" ht="20.45" customHeight="1" x14ac:dyDescent="0.2">
      <c r="A44" s="379"/>
      <c r="B44" s="374"/>
      <c r="C44" s="374"/>
      <c r="D44" s="35" t="s">
        <v>84</v>
      </c>
      <c r="E44" s="47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2"/>
      <c r="S44" s="61"/>
      <c r="T44" s="61"/>
      <c r="U44" s="63"/>
    </row>
    <row r="45" spans="1:22" ht="56.25" x14ac:dyDescent="0.2">
      <c r="A45" s="379"/>
      <c r="B45" s="41" t="s">
        <v>85</v>
      </c>
      <c r="C45" s="41" t="s">
        <v>86</v>
      </c>
      <c r="D45" s="15" t="s">
        <v>87</v>
      </c>
      <c r="E45" s="47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2"/>
      <c r="S45" s="61"/>
      <c r="T45" s="61"/>
      <c r="U45" s="63"/>
    </row>
    <row r="46" spans="1:22" ht="23.25" thickBot="1" x14ac:dyDescent="0.25">
      <c r="A46" s="380"/>
      <c r="B46" s="42"/>
      <c r="C46" s="42"/>
      <c r="D46" s="38" t="s">
        <v>99</v>
      </c>
      <c r="E46" s="51">
        <f>E42*E44</f>
        <v>0</v>
      </c>
      <c r="F46" s="58">
        <f t="shared" ref="F46:Q46" si="29">F42*F44</f>
        <v>0</v>
      </c>
      <c r="G46" s="58">
        <f t="shared" si="29"/>
        <v>0</v>
      </c>
      <c r="H46" s="58">
        <f t="shared" si="29"/>
        <v>0</v>
      </c>
      <c r="I46" s="58">
        <f t="shared" si="29"/>
        <v>0</v>
      </c>
      <c r="J46" s="58">
        <f t="shared" si="29"/>
        <v>0</v>
      </c>
      <c r="K46" s="58">
        <f t="shared" si="29"/>
        <v>0</v>
      </c>
      <c r="L46" s="58">
        <f t="shared" si="29"/>
        <v>0</v>
      </c>
      <c r="M46" s="58">
        <f t="shared" si="29"/>
        <v>0</v>
      </c>
      <c r="N46" s="58">
        <f t="shared" si="29"/>
        <v>0</v>
      </c>
      <c r="O46" s="58">
        <f t="shared" si="29"/>
        <v>0</v>
      </c>
      <c r="P46" s="58">
        <f t="shared" si="29"/>
        <v>0</v>
      </c>
      <c r="Q46" s="58">
        <f t="shared" si="29"/>
        <v>0</v>
      </c>
      <c r="R46" s="59">
        <f>SUM(F46:Q46)</f>
        <v>0</v>
      </c>
      <c r="S46" s="58">
        <f>S42*S44</f>
        <v>0</v>
      </c>
      <c r="T46" s="58">
        <f>T42*T44</f>
        <v>0</v>
      </c>
      <c r="U46" s="60">
        <f>U42*U44</f>
        <v>0</v>
      </c>
    </row>
    <row r="47" spans="1:22" ht="21" customHeight="1" thickTop="1" x14ac:dyDescent="0.2">
      <c r="A47" s="378">
        <v>8</v>
      </c>
      <c r="B47" s="372"/>
      <c r="C47" s="373"/>
      <c r="D47" s="39" t="s">
        <v>82</v>
      </c>
      <c r="E47" s="49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3">
        <f>SUM(F47:Q47)</f>
        <v>0</v>
      </c>
      <c r="S47" s="242"/>
      <c r="T47" s="242"/>
      <c r="U47" s="244"/>
    </row>
    <row r="48" spans="1:22" ht="10.15" customHeight="1" x14ac:dyDescent="0.2">
      <c r="A48" s="379"/>
      <c r="B48" s="374"/>
      <c r="C48" s="374"/>
      <c r="D48" s="40" t="s">
        <v>83</v>
      </c>
      <c r="E48" s="50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2"/>
      <c r="S48" s="161"/>
      <c r="T48" s="161"/>
      <c r="U48" s="163"/>
    </row>
    <row r="49" spans="1:21" ht="20.45" customHeight="1" x14ac:dyDescent="0.2">
      <c r="A49" s="379"/>
      <c r="B49" s="374"/>
      <c r="C49" s="374"/>
      <c r="D49" s="35" t="s">
        <v>84</v>
      </c>
      <c r="E49" s="47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2"/>
      <c r="S49" s="61"/>
      <c r="T49" s="61"/>
      <c r="U49" s="63"/>
    </row>
    <row r="50" spans="1:21" ht="56.25" x14ac:dyDescent="0.2">
      <c r="A50" s="379"/>
      <c r="B50" s="41" t="s">
        <v>85</v>
      </c>
      <c r="C50" s="41" t="s">
        <v>86</v>
      </c>
      <c r="D50" s="15" t="s">
        <v>87</v>
      </c>
      <c r="E50" s="47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2"/>
      <c r="S50" s="61"/>
      <c r="T50" s="61"/>
      <c r="U50" s="63"/>
    </row>
    <row r="51" spans="1:21" ht="23.25" thickBot="1" x14ac:dyDescent="0.25">
      <c r="A51" s="380"/>
      <c r="B51" s="42"/>
      <c r="C51" s="42"/>
      <c r="D51" s="38" t="s">
        <v>100</v>
      </c>
      <c r="E51" s="51">
        <f>E47*E49</f>
        <v>0</v>
      </c>
      <c r="F51" s="58">
        <f t="shared" ref="F51:Q51" si="30">F47*F49</f>
        <v>0</v>
      </c>
      <c r="G51" s="58">
        <f t="shared" si="30"/>
        <v>0</v>
      </c>
      <c r="H51" s="58">
        <f t="shared" si="30"/>
        <v>0</v>
      </c>
      <c r="I51" s="58">
        <f t="shared" si="30"/>
        <v>0</v>
      </c>
      <c r="J51" s="58">
        <f t="shared" si="30"/>
        <v>0</v>
      </c>
      <c r="K51" s="58">
        <f t="shared" si="30"/>
        <v>0</v>
      </c>
      <c r="L51" s="58">
        <f t="shared" si="30"/>
        <v>0</v>
      </c>
      <c r="M51" s="58">
        <f t="shared" si="30"/>
        <v>0</v>
      </c>
      <c r="N51" s="58">
        <f t="shared" si="30"/>
        <v>0</v>
      </c>
      <c r="O51" s="58">
        <f t="shared" si="30"/>
        <v>0</v>
      </c>
      <c r="P51" s="58">
        <f t="shared" si="30"/>
        <v>0</v>
      </c>
      <c r="Q51" s="58">
        <f t="shared" si="30"/>
        <v>0</v>
      </c>
      <c r="R51" s="59">
        <f>SUM(F51:Q51)</f>
        <v>0</v>
      </c>
      <c r="S51" s="58">
        <f>S47*S49</f>
        <v>0</v>
      </c>
      <c r="T51" s="58">
        <f>T47*T49</f>
        <v>0</v>
      </c>
      <c r="U51" s="60">
        <f>U47*U49</f>
        <v>0</v>
      </c>
    </row>
    <row r="52" spans="1:21" ht="21" customHeight="1" thickTop="1" x14ac:dyDescent="0.2">
      <c r="A52" s="378">
        <v>9</v>
      </c>
      <c r="B52" s="372"/>
      <c r="C52" s="373"/>
      <c r="D52" s="39" t="s">
        <v>82</v>
      </c>
      <c r="E52" s="49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243">
        <f>SUM(F52:Q52)</f>
        <v>0</v>
      </c>
      <c r="S52" s="242"/>
      <c r="T52" s="242"/>
      <c r="U52" s="244"/>
    </row>
    <row r="53" spans="1:21" ht="10.15" customHeight="1" x14ac:dyDescent="0.2">
      <c r="A53" s="379"/>
      <c r="B53" s="374"/>
      <c r="C53" s="374"/>
      <c r="D53" s="40" t="s">
        <v>83</v>
      </c>
      <c r="E53" s="50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2"/>
      <c r="S53" s="161"/>
      <c r="T53" s="161"/>
      <c r="U53" s="163"/>
    </row>
    <row r="54" spans="1:21" ht="20.45" customHeight="1" x14ac:dyDescent="0.2">
      <c r="A54" s="379"/>
      <c r="B54" s="374"/>
      <c r="C54" s="374"/>
      <c r="D54" s="35" t="s">
        <v>84</v>
      </c>
      <c r="E54" s="47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2"/>
      <c r="S54" s="61"/>
      <c r="T54" s="61"/>
      <c r="U54" s="63"/>
    </row>
    <row r="55" spans="1:21" ht="56.25" x14ac:dyDescent="0.2">
      <c r="A55" s="379"/>
      <c r="B55" s="41" t="s">
        <v>85</v>
      </c>
      <c r="C55" s="41" t="s">
        <v>86</v>
      </c>
      <c r="D55" s="15" t="s">
        <v>87</v>
      </c>
      <c r="E55" s="47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2"/>
      <c r="S55" s="61"/>
      <c r="T55" s="61"/>
      <c r="U55" s="63"/>
    </row>
    <row r="56" spans="1:21" ht="23.25" thickBot="1" x14ac:dyDescent="0.25">
      <c r="A56" s="380"/>
      <c r="B56" s="42"/>
      <c r="C56" s="42"/>
      <c r="D56" s="38" t="s">
        <v>101</v>
      </c>
      <c r="E56" s="51">
        <f>E52*E54</f>
        <v>0</v>
      </c>
      <c r="F56" s="58">
        <f t="shared" ref="F56:Q56" si="31">F52*F54</f>
        <v>0</v>
      </c>
      <c r="G56" s="58">
        <f t="shared" si="31"/>
        <v>0</v>
      </c>
      <c r="H56" s="58">
        <f t="shared" si="31"/>
        <v>0</v>
      </c>
      <c r="I56" s="58">
        <f t="shared" si="31"/>
        <v>0</v>
      </c>
      <c r="J56" s="58">
        <f t="shared" si="31"/>
        <v>0</v>
      </c>
      <c r="K56" s="58">
        <f t="shared" si="31"/>
        <v>0</v>
      </c>
      <c r="L56" s="58">
        <f t="shared" si="31"/>
        <v>0</v>
      </c>
      <c r="M56" s="58">
        <f t="shared" si="31"/>
        <v>0</v>
      </c>
      <c r="N56" s="58">
        <f t="shared" si="31"/>
        <v>0</v>
      </c>
      <c r="O56" s="58">
        <f t="shared" si="31"/>
        <v>0</v>
      </c>
      <c r="P56" s="58">
        <f t="shared" si="31"/>
        <v>0</v>
      </c>
      <c r="Q56" s="58">
        <f t="shared" si="31"/>
        <v>0</v>
      </c>
      <c r="R56" s="59">
        <f>SUM(F56:Q56)</f>
        <v>0</v>
      </c>
      <c r="S56" s="58">
        <f>S52*S54</f>
        <v>0</v>
      </c>
      <c r="T56" s="58">
        <f>T52*T54</f>
        <v>0</v>
      </c>
      <c r="U56" s="60">
        <f>U52*U54</f>
        <v>0</v>
      </c>
    </row>
    <row r="57" spans="1:21" ht="21" customHeight="1" thickTop="1" x14ac:dyDescent="0.2">
      <c r="A57" s="378">
        <v>10</v>
      </c>
      <c r="B57" s="372"/>
      <c r="C57" s="373"/>
      <c r="D57" s="39" t="s">
        <v>82</v>
      </c>
      <c r="E57" s="49"/>
      <c r="F57" s="245"/>
      <c r="G57" s="245"/>
      <c r="H57" s="245"/>
      <c r="I57" s="245"/>
      <c r="J57" s="242"/>
      <c r="K57" s="242"/>
      <c r="L57" s="242"/>
      <c r="M57" s="242"/>
      <c r="N57" s="242"/>
      <c r="O57" s="242"/>
      <c r="P57" s="242"/>
      <c r="Q57" s="242"/>
      <c r="R57" s="243">
        <f>SUM(F57:Q57)</f>
        <v>0</v>
      </c>
      <c r="S57" s="242"/>
      <c r="T57" s="242"/>
      <c r="U57" s="244"/>
    </row>
    <row r="58" spans="1:21" ht="10.15" customHeight="1" x14ac:dyDescent="0.2">
      <c r="A58" s="379"/>
      <c r="B58" s="374"/>
      <c r="C58" s="374"/>
      <c r="D58" s="40" t="s">
        <v>83</v>
      </c>
      <c r="E58" s="50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2"/>
      <c r="S58" s="161"/>
      <c r="T58" s="161"/>
      <c r="U58" s="163"/>
    </row>
    <row r="59" spans="1:21" ht="20.45" customHeight="1" x14ac:dyDescent="0.2">
      <c r="A59" s="379"/>
      <c r="B59" s="374"/>
      <c r="C59" s="374"/>
      <c r="D59" s="35" t="s">
        <v>84</v>
      </c>
      <c r="E59" s="47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2"/>
      <c r="S59" s="61"/>
      <c r="T59" s="61"/>
      <c r="U59" s="63"/>
    </row>
    <row r="60" spans="1:21" ht="56.25" x14ac:dyDescent="0.2">
      <c r="A60" s="379"/>
      <c r="B60" s="41" t="s">
        <v>85</v>
      </c>
      <c r="C60" s="41" t="s">
        <v>86</v>
      </c>
      <c r="D60" s="15" t="s">
        <v>87</v>
      </c>
      <c r="E60" s="47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2"/>
      <c r="S60" s="61"/>
      <c r="T60" s="61"/>
      <c r="U60" s="63"/>
    </row>
    <row r="61" spans="1:21" ht="23.25" thickBot="1" x14ac:dyDescent="0.25">
      <c r="A61" s="380"/>
      <c r="B61" s="42"/>
      <c r="C61" s="42"/>
      <c r="D61" s="38" t="s">
        <v>102</v>
      </c>
      <c r="E61" s="51">
        <f>E57*E59</f>
        <v>0</v>
      </c>
      <c r="F61" s="58">
        <f t="shared" ref="F61:Q61" si="32">F57*F59</f>
        <v>0</v>
      </c>
      <c r="G61" s="58">
        <f t="shared" si="32"/>
        <v>0</v>
      </c>
      <c r="H61" s="58">
        <f t="shared" si="32"/>
        <v>0</v>
      </c>
      <c r="I61" s="58">
        <f t="shared" si="32"/>
        <v>0</v>
      </c>
      <c r="J61" s="58">
        <f t="shared" si="32"/>
        <v>0</v>
      </c>
      <c r="K61" s="58">
        <f t="shared" si="32"/>
        <v>0</v>
      </c>
      <c r="L61" s="58">
        <f t="shared" si="32"/>
        <v>0</v>
      </c>
      <c r="M61" s="58">
        <f t="shared" si="32"/>
        <v>0</v>
      </c>
      <c r="N61" s="58">
        <f t="shared" si="32"/>
        <v>0</v>
      </c>
      <c r="O61" s="58">
        <f t="shared" si="32"/>
        <v>0</v>
      </c>
      <c r="P61" s="58">
        <f t="shared" si="32"/>
        <v>0</v>
      </c>
      <c r="Q61" s="58">
        <f t="shared" si="32"/>
        <v>0</v>
      </c>
      <c r="R61" s="59">
        <f>SUM(F61:Q61)</f>
        <v>0</v>
      </c>
      <c r="S61" s="58">
        <f>S57*S59</f>
        <v>0</v>
      </c>
      <c r="T61" s="58">
        <f>T57*T59</f>
        <v>0</v>
      </c>
      <c r="U61" s="60">
        <f>U57*U59</f>
        <v>0</v>
      </c>
    </row>
    <row r="62" spans="1:21" ht="12" thickTop="1" x14ac:dyDescent="0.2"/>
  </sheetData>
  <sheetProtection algorithmName="SHA-512" hashValue="M95Qf6sUA7ibFKUwOihBAtXCWSZlVhnmi0GDvfugBNGPFK5FdkW8ZdwsCOh9TSVzxqv9RiHV0OLEw8Pkwfxe/w==" saltValue="i4643OvezeFtcEVDRLVxOA==" spinCount="100000" sheet="1" objects="1" scenarios="1"/>
  <mergeCells count="21">
    <mergeCell ref="A57:A61"/>
    <mergeCell ref="B57:C59"/>
    <mergeCell ref="A42:A46"/>
    <mergeCell ref="B42:C44"/>
    <mergeCell ref="A47:A51"/>
    <mergeCell ref="B47:C49"/>
    <mergeCell ref="A52:A56"/>
    <mergeCell ref="B52:C54"/>
    <mergeCell ref="B27:C29"/>
    <mergeCell ref="A32:A36"/>
    <mergeCell ref="B32:C34"/>
    <mergeCell ref="A37:A41"/>
    <mergeCell ref="B37:C39"/>
    <mergeCell ref="A27:A31"/>
    <mergeCell ref="B1:D1"/>
    <mergeCell ref="B22:C24"/>
    <mergeCell ref="A17:A21"/>
    <mergeCell ref="A22:A26"/>
    <mergeCell ref="B12:C14"/>
    <mergeCell ref="B17:C19"/>
    <mergeCell ref="A12:A16"/>
  </mergeCells>
  <phoneticPr fontId="2" type="noConversion"/>
  <pageMargins left="0.39370078740157483" right="0.19685039370078741" top="0.70866141732283472" bottom="0.51181102362204722" header="0" footer="0"/>
  <pageSetup paperSize="9" orientation="landscape" r:id="rId1"/>
  <headerFooter alignWithMargins="0"/>
  <rowBreaks count="1" manualBreakCount="1">
    <brk id="41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eht3">
    <pageSetUpPr fitToPage="1"/>
  </sheetPr>
  <dimension ref="A1:R115"/>
  <sheetViews>
    <sheetView view="pageBreakPreview" zoomScaleNormal="100" zoomScaleSheetLayoutView="100" workbookViewId="0">
      <pane xSplit="1" ySplit="6" topLeftCell="B7" activePane="bottomRight" state="frozen"/>
      <selection activeCell="K25" sqref="K24:K25"/>
      <selection pane="topRight" activeCell="K25" sqref="K24:K25"/>
      <selection pane="bottomLeft" activeCell="K25" sqref="K24:K25"/>
      <selection pane="bottomRight" activeCell="N90" sqref="N90"/>
    </sheetView>
  </sheetViews>
  <sheetFormatPr defaultColWidth="9.140625" defaultRowHeight="11.25" x14ac:dyDescent="0.2"/>
  <cols>
    <col min="1" max="1" width="44.5703125" style="65" customWidth="1"/>
    <col min="2" max="13" width="12.42578125" style="132" customWidth="1"/>
    <col min="14" max="14" width="12.7109375" style="132" customWidth="1"/>
    <col min="15" max="16" width="12.42578125" style="167" customWidth="1"/>
    <col min="17" max="17" width="12" style="230" customWidth="1"/>
    <col min="18" max="18" width="7.7109375" style="65" customWidth="1"/>
    <col min="19" max="16384" width="9.140625" style="65"/>
  </cols>
  <sheetData>
    <row r="1" spans="1:17" s="181" customFormat="1" x14ac:dyDescent="0.2">
      <c r="A1" s="180" t="s">
        <v>104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212" t="s">
        <v>206</v>
      </c>
      <c r="O1" s="212" t="s">
        <v>207</v>
      </c>
      <c r="P1" s="212" t="s">
        <v>208</v>
      </c>
      <c r="Q1" s="212" t="s">
        <v>209</v>
      </c>
    </row>
    <row r="2" spans="1:17" s="210" customFormat="1" x14ac:dyDescent="0.2">
      <c r="A2" s="66"/>
      <c r="B2" s="209" t="s">
        <v>358</v>
      </c>
      <c r="C2" s="209" t="s">
        <v>359</v>
      </c>
      <c r="D2" s="209" t="s">
        <v>348</v>
      </c>
      <c r="E2" s="209" t="s">
        <v>360</v>
      </c>
      <c r="F2" s="209" t="s">
        <v>350</v>
      </c>
      <c r="G2" s="209" t="s">
        <v>351</v>
      </c>
      <c r="H2" s="209" t="s">
        <v>352</v>
      </c>
      <c r="I2" s="209" t="s">
        <v>361</v>
      </c>
      <c r="J2" s="209" t="s">
        <v>362</v>
      </c>
      <c r="K2" s="209" t="s">
        <v>363</v>
      </c>
      <c r="L2" s="209" t="s">
        <v>364</v>
      </c>
      <c r="M2" s="209" t="s">
        <v>365</v>
      </c>
      <c r="N2" s="213">
        <v>2022</v>
      </c>
      <c r="O2" s="213">
        <v>2023</v>
      </c>
      <c r="P2" s="213">
        <v>2024</v>
      </c>
      <c r="Q2" s="213">
        <v>2025</v>
      </c>
    </row>
    <row r="3" spans="1:17" s="69" customFormat="1" x14ac:dyDescent="0.2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214"/>
      <c r="O3" s="214"/>
      <c r="P3" s="214"/>
      <c r="Q3" s="214"/>
    </row>
    <row r="4" spans="1:17" s="73" customFormat="1" x14ac:dyDescent="0.2">
      <c r="A4" s="338" t="s">
        <v>105</v>
      </c>
      <c r="B4" s="70">
        <f>Баланс!B6</f>
        <v>0</v>
      </c>
      <c r="C4" s="71">
        <f t="shared" ref="C4:L4" si="0">B97</f>
        <v>0</v>
      </c>
      <c r="D4" s="71">
        <f t="shared" si="0"/>
        <v>0</v>
      </c>
      <c r="E4" s="71">
        <f t="shared" si="0"/>
        <v>0</v>
      </c>
      <c r="F4" s="71">
        <f t="shared" si="0"/>
        <v>0</v>
      </c>
      <c r="G4" s="71">
        <f t="shared" si="0"/>
        <v>0</v>
      </c>
      <c r="H4" s="71">
        <f t="shared" si="0"/>
        <v>0</v>
      </c>
      <c r="I4" s="71">
        <f t="shared" si="0"/>
        <v>0</v>
      </c>
      <c r="J4" s="71">
        <f t="shared" si="0"/>
        <v>0</v>
      </c>
      <c r="K4" s="72">
        <f t="shared" si="0"/>
        <v>0</v>
      </c>
      <c r="L4" s="72">
        <f t="shared" si="0"/>
        <v>0</v>
      </c>
      <c r="M4" s="72">
        <f>L97</f>
        <v>0</v>
      </c>
      <c r="N4" s="215">
        <f>B4</f>
        <v>0</v>
      </c>
      <c r="O4" s="215">
        <f>N97</f>
        <v>0</v>
      </c>
      <c r="P4" s="215">
        <f>O97</f>
        <v>0</v>
      </c>
      <c r="Q4" s="215">
        <f>P97</f>
        <v>0</v>
      </c>
    </row>
    <row r="5" spans="1:17" s="73" customFormat="1" x14ac:dyDescent="0.2">
      <c r="A5" s="74"/>
      <c r="B5" s="75"/>
      <c r="C5" s="76"/>
      <c r="D5" s="76"/>
      <c r="E5" s="76"/>
      <c r="F5" s="76"/>
      <c r="G5" s="76"/>
      <c r="H5" s="76"/>
      <c r="I5" s="76"/>
      <c r="J5" s="76"/>
      <c r="K5" s="64"/>
      <c r="L5" s="64"/>
      <c r="M5" s="64"/>
      <c r="N5" s="212"/>
      <c r="O5" s="212"/>
      <c r="P5" s="212"/>
      <c r="Q5" s="212"/>
    </row>
    <row r="6" spans="1:17" s="79" customFormat="1" x14ac:dyDescent="0.2">
      <c r="A6" s="77"/>
      <c r="B6" s="78">
        <f>IF(B7&gt;0,1,0)</f>
        <v>0</v>
      </c>
      <c r="C6" s="78">
        <f t="shared" ref="C6:M6" si="1">IF(C7&gt;0,1,0)</f>
        <v>0</v>
      </c>
      <c r="D6" s="78">
        <f t="shared" si="1"/>
        <v>0</v>
      </c>
      <c r="E6" s="78">
        <f t="shared" si="1"/>
        <v>0</v>
      </c>
      <c r="F6" s="78">
        <f t="shared" si="1"/>
        <v>0</v>
      </c>
      <c r="G6" s="78">
        <f t="shared" si="1"/>
        <v>0</v>
      </c>
      <c r="H6" s="78">
        <f t="shared" si="1"/>
        <v>0</v>
      </c>
      <c r="I6" s="78">
        <f t="shared" si="1"/>
        <v>0</v>
      </c>
      <c r="J6" s="78">
        <f t="shared" si="1"/>
        <v>0</v>
      </c>
      <c r="K6" s="78">
        <f t="shared" si="1"/>
        <v>0</v>
      </c>
      <c r="L6" s="78">
        <f t="shared" si="1"/>
        <v>0</v>
      </c>
      <c r="M6" s="78">
        <f t="shared" si="1"/>
        <v>0</v>
      </c>
      <c r="N6" s="232">
        <f>SUM(B6:M6)</f>
        <v>0</v>
      </c>
      <c r="O6" s="216"/>
      <c r="P6" s="216"/>
      <c r="Q6" s="216"/>
    </row>
    <row r="7" spans="1:17" s="82" customFormat="1" x14ac:dyDescent="0.2">
      <c r="A7" s="80" t="s">
        <v>106</v>
      </c>
      <c r="B7" s="81">
        <f>Продукция!F3</f>
        <v>0</v>
      </c>
      <c r="C7" s="81">
        <f>Продукция!G3</f>
        <v>0</v>
      </c>
      <c r="D7" s="81">
        <f>Продукция!H3</f>
        <v>0</v>
      </c>
      <c r="E7" s="81">
        <f>Продукция!I3</f>
        <v>0</v>
      </c>
      <c r="F7" s="81">
        <f>Продукция!J3</f>
        <v>0</v>
      </c>
      <c r="G7" s="81">
        <f>Продукция!K3</f>
        <v>0</v>
      </c>
      <c r="H7" s="81">
        <f>Продукция!L3</f>
        <v>0</v>
      </c>
      <c r="I7" s="81">
        <f>Продукция!M3</f>
        <v>0</v>
      </c>
      <c r="J7" s="81">
        <f>Продукция!N3</f>
        <v>0</v>
      </c>
      <c r="K7" s="81">
        <f>Продукция!O3</f>
        <v>0</v>
      </c>
      <c r="L7" s="81">
        <f>Продукция!P3</f>
        <v>0</v>
      </c>
      <c r="M7" s="81">
        <f>Продукция!Q3</f>
        <v>0</v>
      </c>
      <c r="N7" s="217">
        <f>SUM(B7:M7)</f>
        <v>0</v>
      </c>
      <c r="O7" s="217">
        <f>Продукция!S3</f>
        <v>0</v>
      </c>
      <c r="P7" s="217">
        <f>Продукция!T3</f>
        <v>0</v>
      </c>
      <c r="Q7" s="217">
        <f>Продукция!U3</f>
        <v>0</v>
      </c>
    </row>
    <row r="8" spans="1:17" s="82" customFormat="1" x14ac:dyDescent="0.2">
      <c r="A8" s="83" t="s">
        <v>107</v>
      </c>
      <c r="B8" s="252">
        <f>IF(B9&gt;0,B9/B7,0)</f>
        <v>0</v>
      </c>
      <c r="C8" s="252">
        <f t="shared" ref="C8:M8" si="2">IF(C9&gt;0,C9/C7,0)</f>
        <v>0</v>
      </c>
      <c r="D8" s="252">
        <f t="shared" si="2"/>
        <v>0</v>
      </c>
      <c r="E8" s="252">
        <f t="shared" si="2"/>
        <v>0</v>
      </c>
      <c r="F8" s="252">
        <f t="shared" si="2"/>
        <v>0</v>
      </c>
      <c r="G8" s="252">
        <f t="shared" si="2"/>
        <v>0</v>
      </c>
      <c r="H8" s="252">
        <f t="shared" si="2"/>
        <v>0</v>
      </c>
      <c r="I8" s="252">
        <f t="shared" si="2"/>
        <v>0</v>
      </c>
      <c r="J8" s="252">
        <f t="shared" si="2"/>
        <v>0</v>
      </c>
      <c r="K8" s="252">
        <f t="shared" si="2"/>
        <v>0</v>
      </c>
      <c r="L8" s="252">
        <f t="shared" si="2"/>
        <v>0</v>
      </c>
      <c r="M8" s="252">
        <f t="shared" si="2"/>
        <v>0</v>
      </c>
      <c r="N8" s="252">
        <f>IF(N9&gt;0,N9/N7,0)</f>
        <v>0</v>
      </c>
      <c r="O8" s="252">
        <f>IF(O9&gt;0,O9/O7,0)</f>
        <v>0</v>
      </c>
      <c r="P8" s="252">
        <f>IF(P9&gt;0,P9/P7,0)</f>
        <v>0</v>
      </c>
      <c r="Q8" s="252">
        <f>IF(Q9&gt;0,Q9/Q7,0)</f>
        <v>0</v>
      </c>
    </row>
    <row r="9" spans="1:17" s="82" customFormat="1" x14ac:dyDescent="0.2">
      <c r="A9" s="83" t="s">
        <v>108</v>
      </c>
      <c r="B9" s="81">
        <f>Продукция!F10</f>
        <v>0</v>
      </c>
      <c r="C9" s="81">
        <f>Продукция!G10</f>
        <v>0</v>
      </c>
      <c r="D9" s="81">
        <f>Продукция!H10</f>
        <v>0</v>
      </c>
      <c r="E9" s="81">
        <f>Продукция!I10</f>
        <v>0</v>
      </c>
      <c r="F9" s="81">
        <f>Продукция!J10</f>
        <v>0</v>
      </c>
      <c r="G9" s="81">
        <f>Продукция!K10</f>
        <v>0</v>
      </c>
      <c r="H9" s="81">
        <f>Продукция!L10</f>
        <v>0</v>
      </c>
      <c r="I9" s="81">
        <f>Продукция!M10</f>
        <v>0</v>
      </c>
      <c r="J9" s="81">
        <f>Продукция!N10</f>
        <v>0</v>
      </c>
      <c r="K9" s="81">
        <f>Продукция!O10</f>
        <v>0</v>
      </c>
      <c r="L9" s="81">
        <f>Продукция!P10</f>
        <v>0</v>
      </c>
      <c r="M9" s="81">
        <f>Продукция!Q10</f>
        <v>0</v>
      </c>
      <c r="N9" s="217">
        <f>SUM(B9:M9)</f>
        <v>0</v>
      </c>
      <c r="O9" s="217">
        <f>Продукция!S10</f>
        <v>0</v>
      </c>
      <c r="P9" s="217">
        <f>Продукция!T10</f>
        <v>0</v>
      </c>
      <c r="Q9" s="217">
        <f>Продукция!U10</f>
        <v>0</v>
      </c>
    </row>
    <row r="10" spans="1:17" s="82" customFormat="1" x14ac:dyDescent="0.2">
      <c r="A10" s="84" t="s">
        <v>109</v>
      </c>
      <c r="B10" s="85">
        <f>Продукция!F2</f>
        <v>0</v>
      </c>
      <c r="C10" s="85">
        <f>Продукция!G2</f>
        <v>0</v>
      </c>
      <c r="D10" s="85">
        <f>Продукция!H2</f>
        <v>0</v>
      </c>
      <c r="E10" s="85">
        <f>Продукция!I2</f>
        <v>0</v>
      </c>
      <c r="F10" s="85">
        <f>Продукция!J2</f>
        <v>0</v>
      </c>
      <c r="G10" s="85">
        <f>Продукция!K2</f>
        <v>0</v>
      </c>
      <c r="H10" s="85">
        <f>Продукция!L2</f>
        <v>0</v>
      </c>
      <c r="I10" s="85">
        <f>Продукция!M2</f>
        <v>0</v>
      </c>
      <c r="J10" s="85">
        <f>Продукция!N2</f>
        <v>0</v>
      </c>
      <c r="K10" s="85">
        <f>Продукция!O2</f>
        <v>0</v>
      </c>
      <c r="L10" s="85">
        <f>Продукция!P2</f>
        <v>0</v>
      </c>
      <c r="M10" s="85">
        <f>Продукция!Q2</f>
        <v>0</v>
      </c>
      <c r="N10" s="218">
        <f>SUM(B10:M10)</f>
        <v>0</v>
      </c>
      <c r="O10" s="218">
        <f>Продукция!S2</f>
        <v>0</v>
      </c>
      <c r="P10" s="218">
        <f>Продукция!T2</f>
        <v>0</v>
      </c>
      <c r="Q10" s="218">
        <f>Продукция!U2</f>
        <v>0</v>
      </c>
    </row>
    <row r="11" spans="1:17" s="82" customFormat="1" x14ac:dyDescent="0.2">
      <c r="A11" s="84" t="s">
        <v>110</v>
      </c>
      <c r="B11" s="85">
        <f>Продукция!F4</f>
        <v>0</v>
      </c>
      <c r="C11" s="85">
        <f>Продукция!G4</f>
        <v>0</v>
      </c>
      <c r="D11" s="85">
        <f>Продукция!H4</f>
        <v>0</v>
      </c>
      <c r="E11" s="85">
        <f>Продукция!I4</f>
        <v>0</v>
      </c>
      <c r="F11" s="85">
        <f>Продукция!J4</f>
        <v>0</v>
      </c>
      <c r="G11" s="85">
        <f>Продукция!K4</f>
        <v>0</v>
      </c>
      <c r="H11" s="85">
        <f>Продукция!L4</f>
        <v>0</v>
      </c>
      <c r="I11" s="85">
        <f>Продукция!M4</f>
        <v>0</v>
      </c>
      <c r="J11" s="85">
        <f>Продукция!N4</f>
        <v>0</v>
      </c>
      <c r="K11" s="85">
        <f>Продукция!O4</f>
        <v>0</v>
      </c>
      <c r="L11" s="85">
        <f>Продукция!P4</f>
        <v>0</v>
      </c>
      <c r="M11" s="85">
        <f>Продукция!Q4</f>
        <v>0</v>
      </c>
      <c r="N11" s="218">
        <f>IF(N7&gt;0,N7/N10,0)</f>
        <v>0</v>
      </c>
      <c r="O11" s="218">
        <f>Продукция!S4</f>
        <v>0</v>
      </c>
      <c r="P11" s="218">
        <f>Продукция!T4</f>
        <v>0</v>
      </c>
      <c r="Q11" s="218">
        <f>Продукция!U4</f>
        <v>0</v>
      </c>
    </row>
    <row r="12" spans="1:17" s="88" customFormat="1" x14ac:dyDescent="0.2">
      <c r="A12" s="86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219"/>
      <c r="O12" s="219"/>
      <c r="P12" s="219"/>
      <c r="Q12" s="219"/>
    </row>
    <row r="13" spans="1:17" s="88" customFormat="1" x14ac:dyDescent="0.2">
      <c r="A13" s="89" t="s">
        <v>111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219"/>
      <c r="O13" s="219"/>
      <c r="P13" s="219"/>
      <c r="Q13" s="219"/>
    </row>
    <row r="14" spans="1:17" s="88" customFormat="1" x14ac:dyDescent="0.2">
      <c r="A14" s="80" t="s">
        <v>112</v>
      </c>
      <c r="B14" s="90">
        <f>B7-(B7*'Исходные данные '!$B3/100)</f>
        <v>0</v>
      </c>
      <c r="C14" s="90">
        <f>IF(C7&gt;0,(C7-(C7*'Исходные данные '!$B3/100)+(B7*'Исходные данные '!$B3/100)),(B7*'Исходные данные '!$B3/100))</f>
        <v>0</v>
      </c>
      <c r="D14" s="90">
        <f>IF(D7&gt;0,(D7-(D7*'Исходные данные '!$B3/100)+(C7*'Исходные данные '!$B3/100)),(C7*'Исходные данные '!$B3/100))</f>
        <v>0</v>
      </c>
      <c r="E14" s="90">
        <f>IF(E7&gt;0,(E7-(E7*'Исходные данные '!$B3/100)+(D7*'Исходные данные '!$B3/100)),(D7*'Исходные данные '!$B3/100))</f>
        <v>0</v>
      </c>
      <c r="F14" s="90">
        <f>IF(F7&gt;0,(F7-(F7*'Исходные данные '!$B3/100)+(E7*'Исходные данные '!$B3/100)),(E7*'Исходные данные '!$B3/100))</f>
        <v>0</v>
      </c>
      <c r="G14" s="90">
        <f>IF(G7&gt;0,(G7-(G7*'Исходные данные '!$B3/100)+(F7*'Исходные данные '!$B3/100)),(F7*'Исходные данные '!$B3/100))</f>
        <v>0</v>
      </c>
      <c r="H14" s="90">
        <f>IF(H7&gt;0,(H7-(H7*'Исходные данные '!$B3/100)+(G7*'Исходные данные '!$B3/100)),(G7*'Исходные данные '!$B3/100))</f>
        <v>0</v>
      </c>
      <c r="I14" s="90">
        <f>IF(I7&gt;0,(I7-(I7*'Исходные данные '!$B3/100)+(H7*'Исходные данные '!$B3/100)),(H7*'Исходные данные '!$B3/100))</f>
        <v>0</v>
      </c>
      <c r="J14" s="90">
        <f>IF(J7&gt;0,(J7-(J7*'Исходные данные '!$B3/100)+(I7*'Исходные данные '!$B3/100)),(I7*'Исходные данные '!$B3/100))</f>
        <v>0</v>
      </c>
      <c r="K14" s="90">
        <f>IF(K7&gt;0,(K7-(K7*'Исходные данные '!$B3/100)+(J7*'Исходные данные '!$B3/100)),(J7*'Исходные данные '!$B3/100))</f>
        <v>0</v>
      </c>
      <c r="L14" s="90">
        <f>IF(L7&gt;0,(L7-(L7*'Исходные данные '!$B3/100)+(K7*'Исходные данные '!$B3/100)),(K7*'Исходные данные '!$B3/100))</f>
        <v>0</v>
      </c>
      <c r="M14" s="90">
        <f>IF(M7&gt;0,(M7-(M7*'Исходные данные '!$B3/100)+(L7*'Исходные данные '!$B3/100)),(L7*'Исходные данные '!$B3/100))</f>
        <v>0</v>
      </c>
      <c r="N14" s="220">
        <f t="shared" ref="N14:N29" si="3">SUM(B14:M14)</f>
        <v>0</v>
      </c>
      <c r="O14" s="220">
        <f>(M7*'Исходные данные '!$B3/100)+O7/12*11+((O7/12)*(1-'Исходные данные '!$C3/100))</f>
        <v>0</v>
      </c>
      <c r="P14" s="220">
        <f>P7/12*11+(P7/12-((P7/12)*'Исходные данные '!$C3/100)+((O7/12)*'Исходные данные '!$D3/100))</f>
        <v>0</v>
      </c>
      <c r="Q14" s="220">
        <f>Q7/12*11+(Q7/12-((Q7/12)*'Исходные данные '!$D3/100)+((P7/12)*'Исходные данные '!$E3/100))</f>
        <v>0</v>
      </c>
    </row>
    <row r="15" spans="1:17" s="88" customFormat="1" x14ac:dyDescent="0.2">
      <c r="A15" s="91" t="s">
        <v>113</v>
      </c>
      <c r="B15" s="90">
        <f>IF('Исходные данные '!$B2="yes",B14*B8,0)</f>
        <v>0</v>
      </c>
      <c r="C15" s="90">
        <f>IF('Исходные данные '!$B2="yes",C14*C8,0)</f>
        <v>0</v>
      </c>
      <c r="D15" s="90">
        <f>IF('Исходные данные '!$B2="yes",D14*D8,0)</f>
        <v>0</v>
      </c>
      <c r="E15" s="90">
        <f>IF('Исходные данные '!$B2="yes",E14*E8,0)</f>
        <v>0</v>
      </c>
      <c r="F15" s="90">
        <f>IF('Исходные данные '!$B2="yes",F14*F8,0)</f>
        <v>0</v>
      </c>
      <c r="G15" s="90">
        <f>IF('Исходные данные '!$B2="yes",G14*G8,0)</f>
        <v>0</v>
      </c>
      <c r="H15" s="90">
        <f>IF('Исходные данные '!$B2="yes",H14*H8,0)</f>
        <v>0</v>
      </c>
      <c r="I15" s="90">
        <f>IF('Исходные данные '!$B2="yes",I14*I8,0)</f>
        <v>0</v>
      </c>
      <c r="J15" s="90">
        <f>IF('Исходные данные '!$B2="yes",J14*J8,0)</f>
        <v>0</v>
      </c>
      <c r="K15" s="90">
        <f>IF('Исходные данные '!$B2="yes",K14*K8,0)</f>
        <v>0</v>
      </c>
      <c r="L15" s="90">
        <f>IF('Исходные данные '!$B2="yes",L14*L8,0)</f>
        <v>0</v>
      </c>
      <c r="M15" s="90">
        <f>IF('Исходные данные '!$B2="yes",M14*M8,0)</f>
        <v>0</v>
      </c>
      <c r="N15" s="220">
        <f t="shared" si="3"/>
        <v>0</v>
      </c>
      <c r="O15" s="220">
        <f>IF('Исходные данные '!C2="yes",O14*O8,0)</f>
        <v>0</v>
      </c>
      <c r="P15" s="220">
        <f>IF('Исходные данные '!D2="yes",P14*P8,0)</f>
        <v>0</v>
      </c>
      <c r="Q15" s="220">
        <f>IF('Исходные данные '!E2="yes",Q14*Q8,0)</f>
        <v>0</v>
      </c>
    </row>
    <row r="16" spans="1:17" s="88" customFormat="1" x14ac:dyDescent="0.2">
      <c r="A16" s="91" t="s">
        <v>114</v>
      </c>
      <c r="B16" s="90">
        <f>IF('Исходные данные '!$B2="yes",Продукция!F9-Продукция!F9*'Исходные данные '!$B3/100,0)</f>
        <v>0</v>
      </c>
      <c r="C16" s="90">
        <f>IF('Исходные данные '!$B2="yes",Продукция!G9-Продукция!G9*'Исходные данные '!$B3/100,0)</f>
        <v>0</v>
      </c>
      <c r="D16" s="90">
        <f>IF('Исходные данные '!$B2="yes",Продукция!H9-Продукция!H9*'Исходные данные '!$B3/100,0)</f>
        <v>0</v>
      </c>
      <c r="E16" s="90">
        <f>IF('Исходные данные '!$B2="yes",Продукция!I9-Продукция!I9*'Исходные данные '!$B3/100,0)</f>
        <v>0</v>
      </c>
      <c r="F16" s="90">
        <f>IF('Исходные данные '!$B2="yes",Продукция!J9-Продукция!J9*'Исходные данные '!$B3/100,0)</f>
        <v>0</v>
      </c>
      <c r="G16" s="90">
        <f>IF('Исходные данные '!$B2="yes",Продукция!K9-Продукция!K9*'Исходные данные '!$B3/100,0)</f>
        <v>0</v>
      </c>
      <c r="H16" s="90">
        <f>IF('Исходные данные '!$B2="yes",Продукция!L9-Продукция!L9*'Исходные данные '!$B3/100,0)</f>
        <v>0</v>
      </c>
      <c r="I16" s="90">
        <f>IF('Исходные данные '!$B2="yes",Продукция!M9-Продукция!M9*'Исходные данные '!$B3/100,0)</f>
        <v>0</v>
      </c>
      <c r="J16" s="90">
        <f>IF('Исходные данные '!$B2="yes",Продукция!N9-Продукция!N9*'Исходные данные '!$B3/100,0)</f>
        <v>0</v>
      </c>
      <c r="K16" s="90">
        <f>IF('Исходные данные '!$B2="yes",Продукция!O9-Продукция!O9*'Исходные данные '!$B3/100,0)</f>
        <v>0</v>
      </c>
      <c r="L16" s="90">
        <f>IF('Исходные данные '!$B2="yes",Продукция!P9-Продукция!P9*'Исходные данные '!$B3/100,0)</f>
        <v>0</v>
      </c>
      <c r="M16" s="90">
        <f>IF('Исходные данные '!$B2="yes",Продукция!Q9-Продукция!Q9*'Исходные данные '!$B3/100,0)</f>
        <v>0</v>
      </c>
      <c r="N16" s="220">
        <f t="shared" si="3"/>
        <v>0</v>
      </c>
      <c r="O16" s="220">
        <f>IF('Исходные данные '!C2="yes",Продукция!S9-Продукция!S9*'Исходные данные '!C3/100+Продукция!Q9*'Исходные данные '!B3/100,0)</f>
        <v>0</v>
      </c>
      <c r="P16" s="220">
        <f>IF('Исходные данные '!D2="yes",Продукция!T9-Продукция!T9*'Исходные данные '!D3/100+Продукция!R9*'Исходные данные '!C3/100,0)</f>
        <v>0</v>
      </c>
      <c r="Q16" s="220">
        <f>IF('Исходные данные '!E2="yes",Продукция!U9-Продукция!U9*'Исходные данные '!E3/100+Продукция!S9*'Исходные данные '!D3/100,0)</f>
        <v>0</v>
      </c>
    </row>
    <row r="17" spans="1:17" s="88" customFormat="1" x14ac:dyDescent="0.2">
      <c r="A17" s="91" t="s">
        <v>115</v>
      </c>
      <c r="B17" s="90">
        <f>IF(AND('Исходные данные '!$B2="yes",SUM(B15:B16)&gt;=0),B14-SUM(B15:B16),0)</f>
        <v>0</v>
      </c>
      <c r="C17" s="90">
        <f>IF(AND('Исходные данные '!$B2="yes",SUM(C15:C16)&gt;=0),C14-SUM(C15:C16),0)</f>
        <v>0</v>
      </c>
      <c r="D17" s="90">
        <f>IF(AND('Исходные данные '!$B2="yes",SUM(D15:D16)&gt;=0),D14-SUM(D15:D16),0)</f>
        <v>0</v>
      </c>
      <c r="E17" s="90">
        <f>IF(AND('Исходные данные '!$B2="yes",SUM(E15:E16)&gt;=0),E14-SUM(E15:E16),0)</f>
        <v>0</v>
      </c>
      <c r="F17" s="90">
        <f>IF(AND('Исходные данные '!$B2="yes",SUM(F15:F16)&gt;=0),F14-SUM(F15:F16),0)</f>
        <v>0</v>
      </c>
      <c r="G17" s="90">
        <f>IF(AND('Исходные данные '!$B2="yes",SUM(G15:G16)&gt;=0),G14-SUM(G15:G16),0)</f>
        <v>0</v>
      </c>
      <c r="H17" s="90">
        <f>IF(AND('Исходные данные '!$B2="yes",SUM(H15:H16)&gt;=0),H14-SUM(H15:H16),0)</f>
        <v>0</v>
      </c>
      <c r="I17" s="90">
        <f>IF(AND('Исходные данные '!$B2="yes",SUM(I15:I16)&gt;=0),I14-SUM(I15:I16),0)</f>
        <v>0</v>
      </c>
      <c r="J17" s="90">
        <f>IF(AND('Исходные данные '!$B2="yes",SUM(J15:J16)&gt;=0),J14-SUM(J15:J16),0)</f>
        <v>0</v>
      </c>
      <c r="K17" s="90">
        <f>IF(AND('Исходные данные '!$B2="yes",SUM(K15:K16)&gt;=0),K14-SUM(K15:K16),0)</f>
        <v>0</v>
      </c>
      <c r="L17" s="90">
        <f>IF(AND('Исходные данные '!$B2="yes",SUM(L15:L16)&gt;=0),L14-SUM(L15:L16),0)</f>
        <v>0</v>
      </c>
      <c r="M17" s="90">
        <f>IF(AND('Исходные данные '!$B2="yes",SUM(M15:M16)&gt;=0),M14-SUM(M15:M16),0)</f>
        <v>0</v>
      </c>
      <c r="N17" s="220">
        <f t="shared" si="3"/>
        <v>0</v>
      </c>
      <c r="O17" s="220">
        <f>IF(AND('Исходные данные '!C2="yes",SUM(O15:O16)&gt;=0),O14-SUM(O15:O16),0)</f>
        <v>0</v>
      </c>
      <c r="P17" s="220">
        <f>IF(AND('Исходные данные '!D2="yes",SUM(P15:P16)&gt;=0),P14-SUM(P15:P16),0)</f>
        <v>0</v>
      </c>
      <c r="Q17" s="220">
        <f>IF(AND('Исходные данные '!E2="yes",SUM(Q15:Q16)&gt;=0),Q14-SUM(Q15:Q16),0)</f>
        <v>0</v>
      </c>
    </row>
    <row r="18" spans="1:17" s="82" customFormat="1" ht="22.5" x14ac:dyDescent="0.2">
      <c r="A18" s="95" t="s">
        <v>116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220">
        <f t="shared" si="3"/>
        <v>0</v>
      </c>
      <c r="O18" s="221"/>
      <c r="P18" s="221"/>
      <c r="Q18" s="221"/>
    </row>
    <row r="19" spans="1:17" s="82" customFormat="1" x14ac:dyDescent="0.2">
      <c r="A19" s="93" t="s">
        <v>117</v>
      </c>
      <c r="B19" s="90">
        <f>IF('Исходные данные '!$B2="yes",ROUND(B17*0.2+B16*0.09,0),0)</f>
        <v>0</v>
      </c>
      <c r="C19" s="90">
        <f>IF('Исходные данные '!$B2="yes",ROUND(C17*0.2+C16*0.09,0),0)</f>
        <v>0</v>
      </c>
      <c r="D19" s="90">
        <f>IF('Исходные данные '!$B2="yes",ROUND(D17*0.2+D16*0.09,0),0)</f>
        <v>0</v>
      </c>
      <c r="E19" s="90">
        <f>IF('Исходные данные '!$B2="yes",ROUND(E17*0.2+E16*0.09,0),0)</f>
        <v>0</v>
      </c>
      <c r="F19" s="90">
        <f>IF('Исходные данные '!$B2="yes",ROUND(F17*0.2+F16*0.09,0),0)</f>
        <v>0</v>
      </c>
      <c r="G19" s="90">
        <f>IF('Исходные данные '!$B2="yes",ROUND(G17*0.2+G16*0.09,0),0)</f>
        <v>0</v>
      </c>
      <c r="H19" s="90">
        <f>IF('Исходные данные '!$B2="yes",ROUND(H17*0.2+H16*0.09,0),0)</f>
        <v>0</v>
      </c>
      <c r="I19" s="90">
        <f>IF('Исходные данные '!$B2="yes",ROUND(I17*0.2+I16*0.09,0),0)</f>
        <v>0</v>
      </c>
      <c r="J19" s="90">
        <f>IF('Исходные данные '!$B2="yes",ROUND(J17*0.2+J16*0.09,0),0)</f>
        <v>0</v>
      </c>
      <c r="K19" s="90">
        <f>IF('Исходные данные '!$B2="yes",ROUND(K17*0.2+K16*0.09,0),0)</f>
        <v>0</v>
      </c>
      <c r="L19" s="90">
        <f>IF('Исходные данные '!$B2="yes",ROUND(L17*0.2+L16*0.09,0),0)</f>
        <v>0</v>
      </c>
      <c r="M19" s="90">
        <f>IF('Исходные данные '!$B2="yes",ROUND(M17*0.2+M16*0.09,0),0)</f>
        <v>0</v>
      </c>
      <c r="N19" s="220">
        <f t="shared" si="3"/>
        <v>0</v>
      </c>
      <c r="O19" s="220">
        <f>IF('Исходные данные '!$C2="yes",ROUND(O17*0.2+O16*0.09,0),0)</f>
        <v>0</v>
      </c>
      <c r="P19" s="220">
        <f>IF('Исходные данные '!$D2="yes",ROUND(P17*0.2+P16*0.09,0),0)</f>
        <v>0</v>
      </c>
      <c r="Q19" s="220">
        <f>IF('Исходные данные '!$E2="yes",ROUND(Q17*0.2+Q16*0.09,0),0)</f>
        <v>0</v>
      </c>
    </row>
    <row r="20" spans="1:17" s="82" customFormat="1" x14ac:dyDescent="0.2">
      <c r="A20" s="80" t="s">
        <v>118</v>
      </c>
      <c r="B20" s="94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220">
        <f t="shared" si="3"/>
        <v>0</v>
      </c>
      <c r="O20" s="221"/>
      <c r="P20" s="221"/>
      <c r="Q20" s="221"/>
    </row>
    <row r="21" spans="1:17" s="82" customFormat="1" ht="22.5" x14ac:dyDescent="0.2">
      <c r="A21" s="343" t="s">
        <v>119</v>
      </c>
      <c r="B21" s="94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220">
        <f t="shared" si="3"/>
        <v>0</v>
      </c>
      <c r="O21" s="221"/>
      <c r="P21" s="221"/>
      <c r="Q21" s="221"/>
    </row>
    <row r="22" spans="1:17" s="82" customFormat="1" ht="22.5" x14ac:dyDescent="0.2">
      <c r="A22" s="343" t="s">
        <v>120</v>
      </c>
      <c r="B22" s="94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220">
        <f t="shared" si="3"/>
        <v>0</v>
      </c>
      <c r="O22" s="221"/>
      <c r="P22" s="221"/>
      <c r="Q22" s="221"/>
    </row>
    <row r="23" spans="1:17" s="82" customFormat="1" ht="33.75" x14ac:dyDescent="0.2">
      <c r="A23" s="95" t="s">
        <v>121</v>
      </c>
      <c r="B23" s="94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220">
        <f t="shared" si="3"/>
        <v>0</v>
      </c>
      <c r="O23" s="221"/>
      <c r="P23" s="221"/>
      <c r="Q23" s="221"/>
    </row>
    <row r="24" spans="1:17" s="82" customFormat="1" ht="22.5" x14ac:dyDescent="0.2">
      <c r="A24" s="95" t="s">
        <v>122</v>
      </c>
      <c r="B24" s="94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220">
        <f t="shared" si="3"/>
        <v>0</v>
      </c>
      <c r="O24" s="221"/>
      <c r="P24" s="221"/>
      <c r="Q24" s="221"/>
    </row>
    <row r="25" spans="1:17" s="82" customFormat="1" x14ac:dyDescent="0.2">
      <c r="A25" s="80" t="s">
        <v>123</v>
      </c>
      <c r="B25" s="94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220">
        <f t="shared" si="3"/>
        <v>0</v>
      </c>
      <c r="O25" s="221"/>
      <c r="P25" s="221"/>
      <c r="Q25" s="221"/>
    </row>
    <row r="26" spans="1:17" s="332" customFormat="1" ht="22.5" x14ac:dyDescent="0.2">
      <c r="A26" s="344" t="s">
        <v>124</v>
      </c>
      <c r="B26" s="329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330">
        <f>SUM(B26:M26)</f>
        <v>0</v>
      </c>
      <c r="O26" s="331"/>
      <c r="P26" s="331"/>
      <c r="Q26" s="331"/>
    </row>
    <row r="27" spans="1:17" s="82" customFormat="1" ht="22.5" x14ac:dyDescent="0.2">
      <c r="A27" s="95" t="s">
        <v>125</v>
      </c>
      <c r="B27" s="94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220">
        <f t="shared" si="3"/>
        <v>0</v>
      </c>
      <c r="O27" s="221"/>
      <c r="P27" s="221"/>
      <c r="Q27" s="221"/>
    </row>
    <row r="28" spans="1:17" s="82" customFormat="1" ht="22.5" x14ac:dyDescent="0.2">
      <c r="A28" s="95" t="s">
        <v>126</v>
      </c>
      <c r="B28" s="94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220">
        <f t="shared" si="3"/>
        <v>0</v>
      </c>
      <c r="O28" s="221"/>
      <c r="P28" s="221"/>
      <c r="Q28" s="221"/>
    </row>
    <row r="29" spans="1:17" s="82" customFormat="1" x14ac:dyDescent="0.2">
      <c r="A29" s="80" t="s">
        <v>127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220">
        <f t="shared" si="3"/>
        <v>0</v>
      </c>
      <c r="O29" s="221"/>
      <c r="P29" s="221"/>
      <c r="Q29" s="221"/>
    </row>
    <row r="30" spans="1:17" s="97" customFormat="1" x14ac:dyDescent="0.2">
      <c r="A30" s="96" t="s">
        <v>128</v>
      </c>
      <c r="B30" s="90">
        <f t="shared" ref="B30:H30" si="4">B14+SUM(B18:B29)</f>
        <v>0</v>
      </c>
      <c r="C30" s="90">
        <f t="shared" si="4"/>
        <v>0</v>
      </c>
      <c r="D30" s="90">
        <f t="shared" si="4"/>
        <v>0</v>
      </c>
      <c r="E30" s="90">
        <f t="shared" si="4"/>
        <v>0</v>
      </c>
      <c r="F30" s="90">
        <f t="shared" si="4"/>
        <v>0</v>
      </c>
      <c r="G30" s="90">
        <f t="shared" si="4"/>
        <v>0</v>
      </c>
      <c r="H30" s="90">
        <f t="shared" si="4"/>
        <v>0</v>
      </c>
      <c r="I30" s="90">
        <f>I14+SUM(I18:I29)</f>
        <v>0</v>
      </c>
      <c r="J30" s="90">
        <f>J14+SUM(J18:J29)</f>
        <v>0</v>
      </c>
      <c r="K30" s="90">
        <f>K14+SUM(K18:K29)</f>
        <v>0</v>
      </c>
      <c r="L30" s="90">
        <f>L14+SUM(L18:L29)</f>
        <v>0</v>
      </c>
      <c r="M30" s="90">
        <f>M14+SUM(M18:M29)</f>
        <v>0</v>
      </c>
      <c r="N30" s="220">
        <f>IF((SUM(N14:N29)-SUM(N15:N17))=SUM(B30:M30),SUM(B30:M30),"viga")</f>
        <v>0</v>
      </c>
      <c r="O30" s="220">
        <f>SUM(O14:O29)-SUM(O15:O17)</f>
        <v>0</v>
      </c>
      <c r="P30" s="220">
        <f>SUM(P14:P29)-SUM(P15:P17)</f>
        <v>0</v>
      </c>
      <c r="Q30" s="220">
        <f>SUM(Q14:Q29)-SUM(Q15:Q17)</f>
        <v>0</v>
      </c>
    </row>
    <row r="31" spans="1:17" s="100" customFormat="1" x14ac:dyDescent="0.2">
      <c r="A31" s="98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164"/>
      <c r="O31" s="164"/>
      <c r="P31" s="164"/>
      <c r="Q31" s="164"/>
    </row>
    <row r="32" spans="1:17" x14ac:dyDescent="0.2">
      <c r="A32" s="89" t="s">
        <v>129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165"/>
      <c r="O32" s="165"/>
      <c r="P32" s="165"/>
      <c r="Q32" s="165"/>
    </row>
    <row r="33" spans="1:17" x14ac:dyDescent="0.2">
      <c r="A33" s="101" t="s">
        <v>130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165"/>
      <c r="O33" s="165"/>
      <c r="P33" s="165"/>
      <c r="Q33" s="165"/>
    </row>
    <row r="34" spans="1:17" s="73" customFormat="1" x14ac:dyDescent="0.2">
      <c r="A34" s="74" t="s">
        <v>131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165"/>
      <c r="O34" s="165"/>
      <c r="P34" s="165"/>
      <c r="Q34" s="165"/>
    </row>
    <row r="35" spans="1:17" ht="33.75" x14ac:dyDescent="0.2">
      <c r="A35" s="95" t="s">
        <v>132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220">
        <f t="shared" ref="N35:N41" si="5">SUM(B35:M35)</f>
        <v>0</v>
      </c>
      <c r="O35" s="221"/>
      <c r="P35" s="221"/>
      <c r="Q35" s="221"/>
    </row>
    <row r="36" spans="1:17" ht="33.75" x14ac:dyDescent="0.2">
      <c r="A36" s="95" t="s">
        <v>133</v>
      </c>
      <c r="B36" s="85">
        <f t="shared" ref="B36:M36" si="6">IF(B23&gt;0,B23,0)</f>
        <v>0</v>
      </c>
      <c r="C36" s="85">
        <f t="shared" si="6"/>
        <v>0</v>
      </c>
      <c r="D36" s="85">
        <f t="shared" si="6"/>
        <v>0</v>
      </c>
      <c r="E36" s="85">
        <f t="shared" si="6"/>
        <v>0</v>
      </c>
      <c r="F36" s="85">
        <f t="shared" si="6"/>
        <v>0</v>
      </c>
      <c r="G36" s="85">
        <f t="shared" si="6"/>
        <v>0</v>
      </c>
      <c r="H36" s="85">
        <f t="shared" si="6"/>
        <v>0</v>
      </c>
      <c r="I36" s="85">
        <f t="shared" si="6"/>
        <v>0</v>
      </c>
      <c r="J36" s="85">
        <f t="shared" si="6"/>
        <v>0</v>
      </c>
      <c r="K36" s="85">
        <f t="shared" si="6"/>
        <v>0</v>
      </c>
      <c r="L36" s="85">
        <f t="shared" si="6"/>
        <v>0</v>
      </c>
      <c r="M36" s="85">
        <f t="shared" si="6"/>
        <v>0</v>
      </c>
      <c r="N36" s="220">
        <f t="shared" si="5"/>
        <v>0</v>
      </c>
      <c r="O36" s="218">
        <f t="shared" ref="O36:Q37" si="7">IF(O23&gt;0,O23,0)</f>
        <v>0</v>
      </c>
      <c r="P36" s="218">
        <f t="shared" si="7"/>
        <v>0</v>
      </c>
      <c r="Q36" s="218">
        <f t="shared" si="7"/>
        <v>0</v>
      </c>
    </row>
    <row r="37" spans="1:17" ht="22.5" x14ac:dyDescent="0.2">
      <c r="A37" s="95" t="s">
        <v>134</v>
      </c>
      <c r="B37" s="85">
        <f>IF(B24&gt;0,B24,0)</f>
        <v>0</v>
      </c>
      <c r="C37" s="85">
        <f t="shared" ref="C37:N37" si="8">IF(C24&gt;0,C24,0)</f>
        <v>0</v>
      </c>
      <c r="D37" s="85">
        <f t="shared" si="8"/>
        <v>0</v>
      </c>
      <c r="E37" s="85">
        <f t="shared" si="8"/>
        <v>0</v>
      </c>
      <c r="F37" s="85">
        <f t="shared" si="8"/>
        <v>0</v>
      </c>
      <c r="G37" s="85">
        <f t="shared" si="8"/>
        <v>0</v>
      </c>
      <c r="H37" s="85">
        <f t="shared" si="8"/>
        <v>0</v>
      </c>
      <c r="I37" s="85">
        <f t="shared" si="8"/>
        <v>0</v>
      </c>
      <c r="J37" s="85">
        <f t="shared" si="8"/>
        <v>0</v>
      </c>
      <c r="K37" s="85">
        <f t="shared" si="8"/>
        <v>0</v>
      </c>
      <c r="L37" s="85">
        <f t="shared" si="8"/>
        <v>0</v>
      </c>
      <c r="M37" s="85">
        <f t="shared" si="8"/>
        <v>0</v>
      </c>
      <c r="N37" s="218">
        <f t="shared" si="8"/>
        <v>0</v>
      </c>
      <c r="O37" s="218">
        <f t="shared" si="7"/>
        <v>0</v>
      </c>
      <c r="P37" s="218">
        <f t="shared" si="7"/>
        <v>0</v>
      </c>
      <c r="Q37" s="218">
        <f t="shared" si="7"/>
        <v>0</v>
      </c>
    </row>
    <row r="38" spans="1:17" ht="33.75" x14ac:dyDescent="0.2">
      <c r="A38" s="102" t="s">
        <v>135</v>
      </c>
      <c r="B38" s="85">
        <f>IF(B27&gt;0,B27,0)</f>
        <v>0</v>
      </c>
      <c r="C38" s="85">
        <f t="shared" ref="C38:Q38" si="9">IF(C27&gt;0,C27,0)</f>
        <v>0</v>
      </c>
      <c r="D38" s="85">
        <f t="shared" si="9"/>
        <v>0</v>
      </c>
      <c r="E38" s="85">
        <f t="shared" si="9"/>
        <v>0</v>
      </c>
      <c r="F38" s="85">
        <f t="shared" si="9"/>
        <v>0</v>
      </c>
      <c r="G38" s="85">
        <f t="shared" si="9"/>
        <v>0</v>
      </c>
      <c r="H38" s="85">
        <f t="shared" si="9"/>
        <v>0</v>
      </c>
      <c r="I38" s="85">
        <f t="shared" si="9"/>
        <v>0</v>
      </c>
      <c r="J38" s="85">
        <f t="shared" si="9"/>
        <v>0</v>
      </c>
      <c r="K38" s="85">
        <f t="shared" si="9"/>
        <v>0</v>
      </c>
      <c r="L38" s="85">
        <f t="shared" si="9"/>
        <v>0</v>
      </c>
      <c r="M38" s="85">
        <f t="shared" si="9"/>
        <v>0</v>
      </c>
      <c r="N38" s="220">
        <f t="shared" si="5"/>
        <v>0</v>
      </c>
      <c r="O38" s="218">
        <f t="shared" si="9"/>
        <v>0</v>
      </c>
      <c r="P38" s="218">
        <f t="shared" si="9"/>
        <v>0</v>
      </c>
      <c r="Q38" s="218">
        <f t="shared" si="9"/>
        <v>0</v>
      </c>
    </row>
    <row r="39" spans="1:17" ht="33.75" x14ac:dyDescent="0.2">
      <c r="A39" s="95" t="s">
        <v>136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220">
        <f t="shared" si="5"/>
        <v>0</v>
      </c>
      <c r="O39" s="221"/>
      <c r="P39" s="221"/>
      <c r="Q39" s="221"/>
    </row>
    <row r="40" spans="1:17" x14ac:dyDescent="0.2">
      <c r="A40" s="80" t="s">
        <v>137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220">
        <f t="shared" si="5"/>
        <v>0</v>
      </c>
      <c r="O40" s="221"/>
      <c r="P40" s="221"/>
      <c r="Q40" s="221"/>
    </row>
    <row r="41" spans="1:17" x14ac:dyDescent="0.2">
      <c r="A41" s="80" t="s">
        <v>138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220">
        <f t="shared" si="5"/>
        <v>0</v>
      </c>
      <c r="O41" s="221"/>
      <c r="P41" s="221"/>
      <c r="Q41" s="221"/>
    </row>
    <row r="42" spans="1:17" ht="33.75" x14ac:dyDescent="0.2">
      <c r="A42" s="103" t="s">
        <v>139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233"/>
      <c r="O42" s="222"/>
      <c r="P42" s="222"/>
      <c r="Q42" s="222"/>
    </row>
    <row r="43" spans="1:17" ht="33.75" x14ac:dyDescent="0.2">
      <c r="A43" s="102" t="s">
        <v>140</v>
      </c>
      <c r="B43" s="105">
        <f>IF(B28&gt;0,B28,0)</f>
        <v>0</v>
      </c>
      <c r="C43" s="105">
        <f t="shared" ref="C43:M43" si="10">IF(C28&gt;0,C28,0)</f>
        <v>0</v>
      </c>
      <c r="D43" s="105">
        <f t="shared" si="10"/>
        <v>0</v>
      </c>
      <c r="E43" s="105">
        <f t="shared" si="10"/>
        <v>0</v>
      </c>
      <c r="F43" s="105">
        <f t="shared" si="10"/>
        <v>0</v>
      </c>
      <c r="G43" s="105">
        <f t="shared" si="10"/>
        <v>0</v>
      </c>
      <c r="H43" s="105">
        <f t="shared" si="10"/>
        <v>0</v>
      </c>
      <c r="I43" s="105">
        <f t="shared" si="10"/>
        <v>0</v>
      </c>
      <c r="J43" s="105">
        <f t="shared" si="10"/>
        <v>0</v>
      </c>
      <c r="K43" s="105">
        <f t="shared" si="10"/>
        <v>0</v>
      </c>
      <c r="L43" s="105">
        <f t="shared" si="10"/>
        <v>0</v>
      </c>
      <c r="M43" s="105">
        <f t="shared" si="10"/>
        <v>0</v>
      </c>
      <c r="N43" s="223">
        <f>SUM(B43:M43)</f>
        <v>0</v>
      </c>
      <c r="O43" s="223">
        <f>IF(O28&gt;0,O28,0)</f>
        <v>0</v>
      </c>
      <c r="P43" s="223">
        <f>IF(P28&gt;0,P28,0)</f>
        <v>0</v>
      </c>
      <c r="Q43" s="223">
        <f>IF(Q28&gt;0,Q28,0)</f>
        <v>0</v>
      </c>
    </row>
    <row r="44" spans="1:17" ht="22.5" x14ac:dyDescent="0.2">
      <c r="A44" s="95" t="s">
        <v>141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220">
        <f>SUM(B44:M44)</f>
        <v>0</v>
      </c>
      <c r="O44" s="221"/>
      <c r="P44" s="221"/>
      <c r="Q44" s="221"/>
    </row>
    <row r="45" spans="1:17" x14ac:dyDescent="0.2">
      <c r="A45" s="10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165"/>
      <c r="O45" s="165"/>
      <c r="P45" s="165"/>
      <c r="Q45" s="165"/>
    </row>
    <row r="46" spans="1:17" x14ac:dyDescent="0.2">
      <c r="A46" s="107" t="s">
        <v>142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165"/>
      <c r="O46" s="165"/>
      <c r="P46" s="165"/>
      <c r="Q46" s="165"/>
    </row>
    <row r="47" spans="1:17" s="73" customFormat="1" x14ac:dyDescent="0.2">
      <c r="A47" s="74" t="s">
        <v>143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165"/>
      <c r="O47" s="165"/>
      <c r="P47" s="165"/>
      <c r="Q47" s="165"/>
    </row>
    <row r="48" spans="1:17" s="73" customFormat="1" x14ac:dyDescent="0.2">
      <c r="A48" s="80" t="s">
        <v>144</v>
      </c>
      <c r="B48" s="108">
        <f>Продукция!F8</f>
        <v>0</v>
      </c>
      <c r="C48" s="108">
        <f>Продукция!G8</f>
        <v>0</v>
      </c>
      <c r="D48" s="108">
        <f>Продукция!H8</f>
        <v>0</v>
      </c>
      <c r="E48" s="108">
        <f>Продукция!I8</f>
        <v>0</v>
      </c>
      <c r="F48" s="108">
        <f>Продукция!J8</f>
        <v>0</v>
      </c>
      <c r="G48" s="108">
        <f>Продукция!K8</f>
        <v>0</v>
      </c>
      <c r="H48" s="108">
        <f>Продукция!L8</f>
        <v>0</v>
      </c>
      <c r="I48" s="108">
        <f>Продукция!M8</f>
        <v>0</v>
      </c>
      <c r="J48" s="108">
        <f>Продукция!N8</f>
        <v>0</v>
      </c>
      <c r="K48" s="108">
        <f>Продукция!O8</f>
        <v>0</v>
      </c>
      <c r="L48" s="108">
        <f>Продукция!P8</f>
        <v>0</v>
      </c>
      <c r="M48" s="108">
        <f>Продукция!Q8</f>
        <v>0</v>
      </c>
      <c r="N48" s="220">
        <f>SUM(B48:M48)</f>
        <v>0</v>
      </c>
      <c r="O48" s="224">
        <f>Продукция!S8</f>
        <v>0</v>
      </c>
      <c r="P48" s="224">
        <f>Продукция!T8</f>
        <v>0</v>
      </c>
      <c r="Q48" s="224">
        <f>Продукция!U8</f>
        <v>0</v>
      </c>
    </row>
    <row r="49" spans="1:17" x14ac:dyDescent="0.2">
      <c r="A49" s="80" t="s">
        <v>145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220">
        <f>SUM(B49:M49)</f>
        <v>0</v>
      </c>
      <c r="O49" s="221"/>
      <c r="P49" s="221"/>
      <c r="Q49" s="221"/>
    </row>
    <row r="50" spans="1:17" x14ac:dyDescent="0.2">
      <c r="A50" s="109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233"/>
      <c r="O50" s="222"/>
      <c r="P50" s="222"/>
      <c r="Q50" s="222"/>
    </row>
    <row r="51" spans="1:17" s="73" customFormat="1" x14ac:dyDescent="0.2">
      <c r="A51" s="10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165"/>
      <c r="O51" s="165"/>
      <c r="P51" s="165"/>
      <c r="Q51" s="165"/>
    </row>
    <row r="52" spans="1:17" s="73" customFormat="1" x14ac:dyDescent="0.2">
      <c r="A52" s="74" t="s">
        <v>146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165"/>
      <c r="O52" s="165"/>
      <c r="P52" s="165"/>
      <c r="Q52" s="165"/>
    </row>
    <row r="53" spans="1:17" s="73" customFormat="1" x14ac:dyDescent="0.2">
      <c r="A53" s="80" t="s">
        <v>147</v>
      </c>
      <c r="B53" s="115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220">
        <f>SUM(B53:M53)</f>
        <v>0</v>
      </c>
      <c r="O53" s="221"/>
      <c r="P53" s="221"/>
      <c r="Q53" s="221"/>
    </row>
    <row r="54" spans="1:17" s="73" customFormat="1" x14ac:dyDescent="0.2">
      <c r="A54" s="80" t="s">
        <v>148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220">
        <f>SUM(B54:M54)</f>
        <v>0</v>
      </c>
      <c r="O54" s="221"/>
      <c r="P54" s="221"/>
      <c r="Q54" s="221"/>
    </row>
    <row r="55" spans="1:17" s="73" customFormat="1" x14ac:dyDescent="0.2">
      <c r="A55" s="80" t="s">
        <v>149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220">
        <f>SUM(B55:M55)</f>
        <v>0</v>
      </c>
      <c r="O55" s="221"/>
      <c r="P55" s="221"/>
      <c r="Q55" s="221"/>
    </row>
    <row r="56" spans="1:17" s="73" customFormat="1" ht="3" customHeight="1" x14ac:dyDescent="0.2">
      <c r="A56" s="10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233">
        <f>SUM(B56:M56)</f>
        <v>0</v>
      </c>
      <c r="O56" s="165"/>
      <c r="P56" s="165"/>
      <c r="Q56" s="165"/>
    </row>
    <row r="57" spans="1:17" s="73" customFormat="1" x14ac:dyDescent="0.2">
      <c r="A57" s="110" t="s">
        <v>150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233"/>
      <c r="O57" s="165"/>
      <c r="P57" s="165"/>
      <c r="Q57" s="165"/>
    </row>
    <row r="58" spans="1:17" s="73" customFormat="1" x14ac:dyDescent="0.2">
      <c r="A58" s="111" t="s">
        <v>151</v>
      </c>
      <c r="B58" s="112">
        <f>IF(B25&gt;0,B25,0)</f>
        <v>0</v>
      </c>
      <c r="C58" s="112">
        <f t="shared" ref="C58:M58" si="11">IF(C25&gt;0,C25,0)</f>
        <v>0</v>
      </c>
      <c r="D58" s="112">
        <f t="shared" si="11"/>
        <v>0</v>
      </c>
      <c r="E58" s="112">
        <f t="shared" si="11"/>
        <v>0</v>
      </c>
      <c r="F58" s="112">
        <f t="shared" si="11"/>
        <v>0</v>
      </c>
      <c r="G58" s="112">
        <f t="shared" si="11"/>
        <v>0</v>
      </c>
      <c r="H58" s="112">
        <f t="shared" si="11"/>
        <v>0</v>
      </c>
      <c r="I58" s="112">
        <f t="shared" si="11"/>
        <v>0</v>
      </c>
      <c r="J58" s="112">
        <f t="shared" si="11"/>
        <v>0</v>
      </c>
      <c r="K58" s="112">
        <f t="shared" si="11"/>
        <v>0</v>
      </c>
      <c r="L58" s="112">
        <f t="shared" si="11"/>
        <v>0</v>
      </c>
      <c r="M58" s="112">
        <f t="shared" si="11"/>
        <v>0</v>
      </c>
      <c r="N58" s="220">
        <f>SUM(B58:M58)</f>
        <v>0</v>
      </c>
      <c r="O58" s="225">
        <f>IF(O25&gt;0,O25,0)</f>
        <v>0</v>
      </c>
      <c r="P58" s="225">
        <f>IF(P25&gt;0,P25,0)</f>
        <v>0</v>
      </c>
      <c r="Q58" s="225">
        <f>IF(Q25&gt;0,Q25,0)</f>
        <v>0</v>
      </c>
    </row>
    <row r="59" spans="1:17" s="73" customFormat="1" x14ac:dyDescent="0.2">
      <c r="A59" s="113" t="s">
        <v>152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165"/>
      <c r="O59" s="165"/>
      <c r="P59" s="165"/>
      <c r="Q59" s="165"/>
    </row>
    <row r="60" spans="1:17" x14ac:dyDescent="0.2">
      <c r="A60" s="80" t="s">
        <v>153</v>
      </c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220">
        <f>SUM(B60:M60)</f>
        <v>0</v>
      </c>
      <c r="O60" s="221"/>
      <c r="P60" s="221"/>
      <c r="Q60" s="221"/>
    </row>
    <row r="61" spans="1:17" x14ac:dyDescent="0.2">
      <c r="A61" s="80" t="s">
        <v>154</v>
      </c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220">
        <f t="shared" ref="N61:N66" si="12">SUM(B61:M61)</f>
        <v>0</v>
      </c>
      <c r="O61" s="221"/>
      <c r="P61" s="221"/>
      <c r="Q61" s="221"/>
    </row>
    <row r="62" spans="1:17" x14ac:dyDescent="0.2">
      <c r="A62" s="80" t="s">
        <v>155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220">
        <f t="shared" si="12"/>
        <v>0</v>
      </c>
      <c r="O62" s="221"/>
      <c r="P62" s="221"/>
      <c r="Q62" s="221"/>
    </row>
    <row r="63" spans="1:17" x14ac:dyDescent="0.2">
      <c r="A63" s="80" t="s">
        <v>156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220">
        <f t="shared" si="12"/>
        <v>0</v>
      </c>
      <c r="O63" s="221"/>
      <c r="P63" s="221"/>
      <c r="Q63" s="221"/>
    </row>
    <row r="64" spans="1:17" x14ac:dyDescent="0.2">
      <c r="A64" s="80" t="s">
        <v>157</v>
      </c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220">
        <f t="shared" si="12"/>
        <v>0</v>
      </c>
      <c r="O64" s="221"/>
      <c r="P64" s="221"/>
      <c r="Q64" s="221"/>
    </row>
    <row r="65" spans="1:17" x14ac:dyDescent="0.2">
      <c r="A65" s="80" t="s">
        <v>158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220">
        <f t="shared" si="12"/>
        <v>0</v>
      </c>
      <c r="O65" s="221"/>
      <c r="P65" s="221"/>
      <c r="Q65" s="221"/>
    </row>
    <row r="66" spans="1:17" x14ac:dyDescent="0.2">
      <c r="A66" s="80" t="s">
        <v>159</v>
      </c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220">
        <f t="shared" si="12"/>
        <v>0</v>
      </c>
      <c r="O66" s="221"/>
      <c r="P66" s="221"/>
      <c r="Q66" s="221"/>
    </row>
    <row r="67" spans="1:17" s="73" customFormat="1" x14ac:dyDescent="0.2">
      <c r="A67" s="113" t="s">
        <v>160</v>
      </c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65"/>
      <c r="O67" s="222"/>
      <c r="P67" s="222"/>
      <c r="Q67" s="222"/>
    </row>
    <row r="68" spans="1:17" x14ac:dyDescent="0.2">
      <c r="A68" s="80" t="s">
        <v>161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220">
        <f>SUM(B68:M68)</f>
        <v>0</v>
      </c>
      <c r="O68" s="221"/>
      <c r="P68" s="221"/>
      <c r="Q68" s="221"/>
    </row>
    <row r="69" spans="1:17" x14ac:dyDescent="0.2">
      <c r="A69" s="80" t="s">
        <v>162</v>
      </c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220">
        <f>SUM(B69:M69)</f>
        <v>0</v>
      </c>
      <c r="O69" s="221"/>
      <c r="P69" s="221"/>
      <c r="Q69" s="221"/>
    </row>
    <row r="70" spans="1:17" x14ac:dyDescent="0.2">
      <c r="A70" s="80" t="s">
        <v>163</v>
      </c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220">
        <f>SUM(B70:M70)</f>
        <v>0</v>
      </c>
      <c r="O70" s="221"/>
      <c r="P70" s="221"/>
      <c r="Q70" s="221"/>
    </row>
    <row r="71" spans="1:17" x14ac:dyDescent="0.2">
      <c r="A71" s="80" t="s">
        <v>164</v>
      </c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220">
        <f>SUM(B71:M71)</f>
        <v>0</v>
      </c>
      <c r="O71" s="221"/>
      <c r="P71" s="221"/>
      <c r="Q71" s="221"/>
    </row>
    <row r="72" spans="1:17" s="73" customFormat="1" x14ac:dyDescent="0.2">
      <c r="A72" s="113" t="s">
        <v>165</v>
      </c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65"/>
      <c r="O72" s="222"/>
      <c r="P72" s="222"/>
      <c r="Q72" s="222"/>
    </row>
    <row r="73" spans="1:17" x14ac:dyDescent="0.2">
      <c r="A73" s="80" t="s">
        <v>166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220">
        <f>SUM(B73:M73)</f>
        <v>0</v>
      </c>
      <c r="O73" s="221"/>
      <c r="P73" s="221"/>
      <c r="Q73" s="221"/>
    </row>
    <row r="74" spans="1:17" x14ac:dyDescent="0.2">
      <c r="A74" s="80" t="s">
        <v>167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220">
        <f>SUM(B74:M74)</f>
        <v>0</v>
      </c>
      <c r="O74" s="221"/>
      <c r="P74" s="221"/>
      <c r="Q74" s="221"/>
    </row>
    <row r="75" spans="1:17" ht="22.5" x14ac:dyDescent="0.2">
      <c r="A75" s="95" t="s">
        <v>168</v>
      </c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220">
        <f>SUM(B75:M75)</f>
        <v>0</v>
      </c>
      <c r="O75" s="221"/>
      <c r="P75" s="221"/>
      <c r="Q75" s="221"/>
    </row>
    <row r="76" spans="1:17" s="73" customFormat="1" x14ac:dyDescent="0.2">
      <c r="A76" s="113" t="s">
        <v>169</v>
      </c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65"/>
      <c r="O76" s="222"/>
      <c r="P76" s="222"/>
      <c r="Q76" s="222"/>
    </row>
    <row r="77" spans="1:17" s="116" customFormat="1" x14ac:dyDescent="0.2">
      <c r="A77" s="114" t="s">
        <v>170</v>
      </c>
      <c r="B77" s="115"/>
      <c r="C77" s="115"/>
      <c r="D77" s="115"/>
      <c r="E77" s="92"/>
      <c r="F77" s="92"/>
      <c r="G77" s="92"/>
      <c r="H77" s="92"/>
      <c r="I77" s="92"/>
      <c r="J77" s="92"/>
      <c r="K77" s="92"/>
      <c r="L77" s="92"/>
      <c r="M77" s="92"/>
      <c r="N77" s="220">
        <f>SUM(B77:M77)</f>
        <v>0</v>
      </c>
      <c r="O77" s="221"/>
      <c r="P77" s="221"/>
      <c r="Q77" s="221"/>
    </row>
    <row r="78" spans="1:17" s="116" customFormat="1" x14ac:dyDescent="0.2">
      <c r="A78" s="114" t="s">
        <v>171</v>
      </c>
      <c r="B78" s="115"/>
      <c r="C78" s="115"/>
      <c r="D78" s="115"/>
      <c r="E78" s="92"/>
      <c r="F78" s="92"/>
      <c r="G78" s="92"/>
      <c r="H78" s="92"/>
      <c r="I78" s="92"/>
      <c r="J78" s="92"/>
      <c r="K78" s="92"/>
      <c r="L78" s="92"/>
      <c r="M78" s="92"/>
      <c r="N78" s="220">
        <f>SUM(B78:M78)</f>
        <v>0</v>
      </c>
      <c r="O78" s="221"/>
      <c r="P78" s="221"/>
      <c r="Q78" s="221"/>
    </row>
    <row r="79" spans="1:17" s="116" customFormat="1" x14ac:dyDescent="0.2">
      <c r="A79" s="114" t="s">
        <v>172</v>
      </c>
      <c r="B79" s="115"/>
      <c r="C79" s="115"/>
      <c r="D79" s="115"/>
      <c r="E79" s="92"/>
      <c r="F79" s="92"/>
      <c r="G79" s="92"/>
      <c r="H79" s="92"/>
      <c r="I79" s="92"/>
      <c r="J79" s="92"/>
      <c r="K79" s="92"/>
      <c r="L79" s="92"/>
      <c r="M79" s="92"/>
      <c r="N79" s="220">
        <f>SUM(B79:M79)</f>
        <v>0</v>
      </c>
      <c r="O79" s="221"/>
      <c r="P79" s="221"/>
      <c r="Q79" s="221"/>
    </row>
    <row r="80" spans="1:17" s="116" customFormat="1" x14ac:dyDescent="0.2">
      <c r="A80" s="114" t="s">
        <v>173</v>
      </c>
      <c r="B80" s="115"/>
      <c r="C80" s="115"/>
      <c r="D80" s="115"/>
      <c r="E80" s="92"/>
      <c r="F80" s="92"/>
      <c r="G80" s="92"/>
      <c r="H80" s="92"/>
      <c r="I80" s="92"/>
      <c r="J80" s="92"/>
      <c r="K80" s="92"/>
      <c r="L80" s="92"/>
      <c r="M80" s="92"/>
      <c r="N80" s="220">
        <f>SUM(B80:M80)</f>
        <v>0</v>
      </c>
      <c r="O80" s="221"/>
      <c r="P80" s="221"/>
      <c r="Q80" s="221"/>
    </row>
    <row r="81" spans="1:18" s="73" customFormat="1" x14ac:dyDescent="0.2">
      <c r="A81" s="113" t="s">
        <v>174</v>
      </c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65"/>
      <c r="O81" s="222"/>
      <c r="P81" s="222"/>
      <c r="Q81" s="222"/>
    </row>
    <row r="82" spans="1:18" x14ac:dyDescent="0.2">
      <c r="A82" s="80" t="s">
        <v>175</v>
      </c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220">
        <f>SUM(B82:M82)</f>
        <v>0</v>
      </c>
      <c r="O82" s="221"/>
      <c r="P82" s="221"/>
      <c r="Q82" s="221"/>
    </row>
    <row r="83" spans="1:18" ht="22.5" x14ac:dyDescent="0.2">
      <c r="A83" s="95" t="s">
        <v>176</v>
      </c>
      <c r="B83" s="117"/>
      <c r="C83" s="90">
        <f>B82*0.33</f>
        <v>0</v>
      </c>
      <c r="D83" s="90">
        <f t="shared" ref="D83:M83" si="13">C82*0.33</f>
        <v>0</v>
      </c>
      <c r="E83" s="90">
        <f t="shared" si="13"/>
        <v>0</v>
      </c>
      <c r="F83" s="90">
        <f t="shared" si="13"/>
        <v>0</v>
      </c>
      <c r="G83" s="90">
        <f t="shared" si="13"/>
        <v>0</v>
      </c>
      <c r="H83" s="90">
        <f t="shared" si="13"/>
        <v>0</v>
      </c>
      <c r="I83" s="90">
        <f t="shared" si="13"/>
        <v>0</v>
      </c>
      <c r="J83" s="90">
        <f t="shared" si="13"/>
        <v>0</v>
      </c>
      <c r="K83" s="90">
        <f t="shared" si="13"/>
        <v>0</v>
      </c>
      <c r="L83" s="90">
        <f t="shared" si="13"/>
        <v>0</v>
      </c>
      <c r="M83" s="90">
        <f t="shared" si="13"/>
        <v>0</v>
      </c>
      <c r="N83" s="220">
        <f>SUM(B83:M83)</f>
        <v>0</v>
      </c>
      <c r="O83" s="220">
        <f>M82/12*0.33+O82/12*11*0.33</f>
        <v>0</v>
      </c>
      <c r="P83" s="220">
        <f>O82/12*0.33+P82/12*11*0.33</f>
        <v>0</v>
      </c>
      <c r="Q83" s="220">
        <f>P82/12*0.33+Q82/12*11*0.33</f>
        <v>0</v>
      </c>
    </row>
    <row r="84" spans="1:18" ht="22.5" x14ac:dyDescent="0.2">
      <c r="A84" s="95" t="s">
        <v>177</v>
      </c>
      <c r="B84" s="117"/>
      <c r="C84" s="90">
        <f t="shared" ref="C84:M84" si="14">B82*0.008</f>
        <v>0</v>
      </c>
      <c r="D84" s="90">
        <f t="shared" si="14"/>
        <v>0</v>
      </c>
      <c r="E84" s="90">
        <f t="shared" si="14"/>
        <v>0</v>
      </c>
      <c r="F84" s="90">
        <f t="shared" si="14"/>
        <v>0</v>
      </c>
      <c r="G84" s="90">
        <f t="shared" si="14"/>
        <v>0</v>
      </c>
      <c r="H84" s="90">
        <f t="shared" si="14"/>
        <v>0</v>
      </c>
      <c r="I84" s="90">
        <f t="shared" si="14"/>
        <v>0</v>
      </c>
      <c r="J84" s="90">
        <f t="shared" si="14"/>
        <v>0</v>
      </c>
      <c r="K84" s="90">
        <f t="shared" si="14"/>
        <v>0</v>
      </c>
      <c r="L84" s="90">
        <f t="shared" si="14"/>
        <v>0</v>
      </c>
      <c r="M84" s="90">
        <f t="shared" si="14"/>
        <v>0</v>
      </c>
      <c r="N84" s="220">
        <f>SUM(B84:M84)</f>
        <v>0</v>
      </c>
      <c r="O84" s="220">
        <f>N82/12*0.008+O82/12*11*0.008</f>
        <v>0</v>
      </c>
      <c r="P84" s="220">
        <f>O82/12*0.008+P82/12*11*0.008</f>
        <v>0</v>
      </c>
      <c r="Q84" s="220">
        <f>P82/12*0.008+Q82/12*11*0.008</f>
        <v>0</v>
      </c>
    </row>
    <row r="85" spans="1:18" x14ac:dyDescent="0.2">
      <c r="A85" s="80" t="s">
        <v>178</v>
      </c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220">
        <f>SUM(B85:M85)</f>
        <v>0</v>
      </c>
      <c r="O85" s="221"/>
      <c r="P85" s="221"/>
      <c r="Q85" s="221"/>
    </row>
    <row r="86" spans="1:18" s="73" customFormat="1" x14ac:dyDescent="0.2">
      <c r="A86" s="74" t="s">
        <v>179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65"/>
      <c r="O86" s="222"/>
      <c r="P86" s="222"/>
      <c r="Q86" s="222"/>
    </row>
    <row r="87" spans="1:18" x14ac:dyDescent="0.2">
      <c r="A87" s="80" t="s">
        <v>180</v>
      </c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220">
        <f>SUM(B87:M87)</f>
        <v>0</v>
      </c>
      <c r="O87" s="221"/>
      <c r="P87" s="221"/>
      <c r="Q87" s="221"/>
    </row>
    <row r="88" spans="1:18" x14ac:dyDescent="0.2">
      <c r="A88" s="93" t="s">
        <v>117</v>
      </c>
      <c r="B88" s="90">
        <f>IF('Исходные данные '!$B2="yes",ROUND((SUM(B35:B80)-B71-B78+B85)*0.2,0),0)</f>
        <v>0</v>
      </c>
      <c r="C88" s="90">
        <f>IF('Исходные данные '!$B2="yes",ROUND((SUM(C35:C80)-C71-C78+C85)*0.2,0),0)</f>
        <v>0</v>
      </c>
      <c r="D88" s="90">
        <f>IF('Исходные данные '!$B2="yes",ROUND((SUM(D35:D80)-D71-D78+D85)*0.2,0),0)</f>
        <v>0</v>
      </c>
      <c r="E88" s="90">
        <f>IF('Исходные данные '!$B2="yes",ROUND((SUM(E35:E80)-E71-E78+E85)*0.2,0),0)</f>
        <v>0</v>
      </c>
      <c r="F88" s="90">
        <f>IF('Исходные данные '!$B2="yes",ROUND((SUM(F35:F80)-F71-F78+F85)*0.2,0),0)</f>
        <v>0</v>
      </c>
      <c r="G88" s="90">
        <f>IF('Исходные данные '!$B2="yes",ROUND((SUM(G35:G80)-G71-G78+G85)*0.2,0),0)</f>
        <v>0</v>
      </c>
      <c r="H88" s="90">
        <f>IF('Исходные данные '!$B2="yes",ROUND((SUM(H35:H80)-H71-H78+H85)*0.2,0),0)</f>
        <v>0</v>
      </c>
      <c r="I88" s="90">
        <f>IF('Исходные данные '!$B2="yes",ROUND((SUM(I35:I80)-I71-I78+I85)*0.2,0),0)</f>
        <v>0</v>
      </c>
      <c r="J88" s="90">
        <f>IF('Исходные данные '!$B2="yes",ROUND((SUM(J35:J80)-J71-J78+J85)*0.2,0),0)</f>
        <v>0</v>
      </c>
      <c r="K88" s="90">
        <f>IF('Исходные данные '!$B2="yes",ROUND((SUM(K35:K80)-K71-K78+K85)*0.2,0),0)</f>
        <v>0</v>
      </c>
      <c r="L88" s="90">
        <f>IF('Исходные данные '!$B2="yes",ROUND((SUM(L35:L80)-L71-L78+L85)*0.2,0),0)</f>
        <v>0</v>
      </c>
      <c r="M88" s="90">
        <f>IF('Исходные данные '!$B2="yes",ROUND((SUM(M35:M80)-M71-M78+M85)*0.2,0),0)</f>
        <v>0</v>
      </c>
      <c r="N88" s="220">
        <f>SUM(B88:M88)</f>
        <v>0</v>
      </c>
      <c r="O88" s="220">
        <f>IF('Исходные данные '!$C2="yes",ROUND((SUM(O35:O80)-O71-O78+O85)*0.2,0),0)</f>
        <v>0</v>
      </c>
      <c r="P88" s="220">
        <f>IF('Исходные данные '!$C2="yes",ROUND((SUM(P35:P80)-P71-P78+P85)*0.2,0),0)</f>
        <v>0</v>
      </c>
      <c r="Q88" s="220">
        <f>IF('Исходные данные '!$C2="yes",ROUND((SUM(Q35:Q80)-Q71-Q78+Q85)*0.2,0),0)</f>
        <v>0</v>
      </c>
    </row>
    <row r="89" spans="1:18" ht="12" thickBot="1" x14ac:dyDescent="0.25">
      <c r="A89" s="118" t="s">
        <v>181</v>
      </c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234"/>
      <c r="O89" s="226"/>
      <c r="P89" s="226"/>
      <c r="Q89" s="226"/>
    </row>
    <row r="90" spans="1:18" s="116" customFormat="1" ht="12" thickBot="1" x14ac:dyDescent="0.25">
      <c r="A90" s="114" t="s">
        <v>182</v>
      </c>
      <c r="B90" s="121"/>
      <c r="C90" s="115"/>
      <c r="D90" s="115"/>
      <c r="E90" s="92"/>
      <c r="F90" s="92"/>
      <c r="G90" s="92"/>
      <c r="H90" s="92"/>
      <c r="I90" s="92"/>
      <c r="J90" s="92"/>
      <c r="K90" s="92"/>
      <c r="L90" s="92"/>
      <c r="M90" s="85">
        <f>IF(SUM(B90:L90)&lt;=Баланс!B34,Баланс!B34-SUM(B90:L90),0)</f>
        <v>0</v>
      </c>
      <c r="N90" s="218">
        <f>IF(SUM(B90:M90)=Баланс!B34,SUM(B90:M90),IF(Баланс!B34-SUM(B90:M90)&lt;0,"Viga, kliki siin!",Баланс!B34-SUM(B90:M90)))</f>
        <v>0</v>
      </c>
      <c r="O90" s="221"/>
      <c r="P90" s="221"/>
      <c r="Q90" s="227"/>
      <c r="R90" s="122"/>
    </row>
    <row r="91" spans="1:18" s="116" customFormat="1" x14ac:dyDescent="0.2">
      <c r="A91" s="114" t="s">
        <v>183</v>
      </c>
      <c r="B91" s="115"/>
      <c r="C91" s="115"/>
      <c r="D91" s="115"/>
      <c r="E91" s="92"/>
      <c r="F91" s="92"/>
      <c r="G91" s="92"/>
      <c r="H91" s="92"/>
      <c r="I91" s="92"/>
      <c r="J91" s="92"/>
      <c r="K91" s="92"/>
      <c r="L91" s="92"/>
      <c r="M91" s="123">
        <f>IF(SUM(B91:L91)&lt;=Баланс!B33+N22,(Баланс!B33+N22-SUM(B91:L91)),0)</f>
        <v>0</v>
      </c>
      <c r="N91" s="220">
        <f>IF(SUM(B91:M91)&lt;Баланс!B33,"Viga, kliki siin!",IF(SUM(B91:M91)&gt;(Баланс!B33+SUM(B22:M22)),"Viga, kliki siin!",SUM(B91:M91)))</f>
        <v>0</v>
      </c>
      <c r="O91" s="221"/>
      <c r="P91" s="221"/>
      <c r="Q91" s="221"/>
    </row>
    <row r="92" spans="1:18" s="116" customFormat="1" x14ac:dyDescent="0.2">
      <c r="A92" s="114" t="s">
        <v>184</v>
      </c>
      <c r="B92" s="115"/>
      <c r="C92" s="115"/>
      <c r="D92" s="115"/>
      <c r="E92" s="92"/>
      <c r="F92" s="92"/>
      <c r="G92" s="92"/>
      <c r="H92" s="92"/>
      <c r="I92" s="92"/>
      <c r="J92" s="92"/>
      <c r="K92" s="92"/>
      <c r="L92" s="92"/>
      <c r="M92" s="92"/>
      <c r="N92" s="220">
        <f>SUM(B92:M92)</f>
        <v>0</v>
      </c>
      <c r="O92" s="221"/>
      <c r="P92" s="221"/>
      <c r="Q92" s="221"/>
    </row>
    <row r="93" spans="1:18" x14ac:dyDescent="0.2">
      <c r="A93" s="80" t="s">
        <v>185</v>
      </c>
      <c r="B93" s="117"/>
      <c r="C93" s="90">
        <f>IF(B102&gt;0,B102,0)</f>
        <v>0</v>
      </c>
      <c r="D93" s="90">
        <f>IF(AND(B102&lt;0,C102&lt;=0),B102,IF(AND(B102&gt;=0,C102&lt;0),0,IF(AND(B102&lt;0,C102&gt;0),B102+C102,C102)))</f>
        <v>0</v>
      </c>
      <c r="E93" s="90">
        <f t="shared" ref="E93:M93" si="15">IF(AND(C102&lt;0,D102&lt;=0),C102,IF(AND(C102&gt;=0,D102&lt;0),0,IF(AND(C102&lt;0,D102&gt;0),C102+D102,D102)))</f>
        <v>0</v>
      </c>
      <c r="F93" s="90">
        <f t="shared" si="15"/>
        <v>0</v>
      </c>
      <c r="G93" s="90">
        <f t="shared" si="15"/>
        <v>0</v>
      </c>
      <c r="H93" s="90">
        <f t="shared" si="15"/>
        <v>0</v>
      </c>
      <c r="I93" s="90">
        <f t="shared" si="15"/>
        <v>0</v>
      </c>
      <c r="J93" s="90">
        <f t="shared" si="15"/>
        <v>0</v>
      </c>
      <c r="K93" s="90">
        <f t="shared" si="15"/>
        <v>0</v>
      </c>
      <c r="L93" s="90">
        <f t="shared" si="15"/>
        <v>0</v>
      </c>
      <c r="M93" s="90">
        <f t="shared" si="15"/>
        <v>0</v>
      </c>
      <c r="N93" s="220">
        <f>SUM(B93:M93)</f>
        <v>0</v>
      </c>
      <c r="O93" s="220">
        <f>L102+M102+O102-O102/12</f>
        <v>0</v>
      </c>
      <c r="P93" s="220">
        <f>O102/12+P102-P102/12</f>
        <v>0</v>
      </c>
      <c r="Q93" s="220">
        <f>P102/12+Q102-Q102/12</f>
        <v>0</v>
      </c>
    </row>
    <row r="94" spans="1:18" s="73" customFormat="1" x14ac:dyDescent="0.2">
      <c r="A94" s="106" t="s">
        <v>186</v>
      </c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220">
        <f>SUM(B94:M94)</f>
        <v>0</v>
      </c>
      <c r="O94" s="221"/>
      <c r="P94" s="221"/>
      <c r="Q94" s="221"/>
    </row>
    <row r="95" spans="1:18" s="125" customFormat="1" x14ac:dyDescent="0.2">
      <c r="A95" s="124" t="s">
        <v>187</v>
      </c>
      <c r="B95" s="90">
        <f>SUM(B35:B94)</f>
        <v>0</v>
      </c>
      <c r="C95" s="90">
        <f>SUM(C35:C94)</f>
        <v>0</v>
      </c>
      <c r="D95" s="90">
        <f t="shared" ref="D95:M95" si="16">SUM(D35:D94)</f>
        <v>0</v>
      </c>
      <c r="E95" s="90">
        <f t="shared" si="16"/>
        <v>0</v>
      </c>
      <c r="F95" s="90">
        <f t="shared" si="16"/>
        <v>0</v>
      </c>
      <c r="G95" s="90">
        <f t="shared" si="16"/>
        <v>0</v>
      </c>
      <c r="H95" s="90">
        <f t="shared" si="16"/>
        <v>0</v>
      </c>
      <c r="I95" s="90">
        <f t="shared" si="16"/>
        <v>0</v>
      </c>
      <c r="J95" s="90">
        <f t="shared" si="16"/>
        <v>0</v>
      </c>
      <c r="K95" s="90">
        <f t="shared" si="16"/>
        <v>0</v>
      </c>
      <c r="L95" s="90">
        <f t="shared" si="16"/>
        <v>0</v>
      </c>
      <c r="M95" s="90">
        <f t="shared" si="16"/>
        <v>0</v>
      </c>
      <c r="N95" s="220">
        <f>SUM(N35:N94)</f>
        <v>0</v>
      </c>
      <c r="O95" s="220">
        <f>SUM(O35:O94)</f>
        <v>0</v>
      </c>
      <c r="P95" s="220">
        <f>SUM(P35:P94)</f>
        <v>0</v>
      </c>
      <c r="Q95" s="220">
        <f>SUM(Q35:Q94)</f>
        <v>0</v>
      </c>
    </row>
    <row r="96" spans="1:18" s="125" customFormat="1" ht="22.5" x14ac:dyDescent="0.2">
      <c r="A96" s="345" t="s">
        <v>188</v>
      </c>
      <c r="B96" s="126">
        <f>SUM(raha2)-SUM(kohu2)</f>
        <v>0</v>
      </c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235">
        <f>B96</f>
        <v>0</v>
      </c>
      <c r="O96" s="164"/>
      <c r="P96" s="164"/>
      <c r="Q96" s="164"/>
    </row>
    <row r="97" spans="1:17" s="73" customFormat="1" x14ac:dyDescent="0.2">
      <c r="A97" s="124" t="s">
        <v>189</v>
      </c>
      <c r="B97" s="127">
        <f>B4+B30-B95+B96</f>
        <v>0</v>
      </c>
      <c r="C97" s="90">
        <f t="shared" ref="C97:M97" si="17">C30+C4-C95</f>
        <v>0</v>
      </c>
      <c r="D97" s="90">
        <f t="shared" si="17"/>
        <v>0</v>
      </c>
      <c r="E97" s="90">
        <f t="shared" si="17"/>
        <v>0</v>
      </c>
      <c r="F97" s="90">
        <f t="shared" si="17"/>
        <v>0</v>
      </c>
      <c r="G97" s="90">
        <f t="shared" si="17"/>
        <v>0</v>
      </c>
      <c r="H97" s="90">
        <f t="shared" si="17"/>
        <v>0</v>
      </c>
      <c r="I97" s="90">
        <f t="shared" si="17"/>
        <v>0</v>
      </c>
      <c r="J97" s="90">
        <f t="shared" si="17"/>
        <v>0</v>
      </c>
      <c r="K97" s="90">
        <f t="shared" si="17"/>
        <v>0</v>
      </c>
      <c r="L97" s="90">
        <f t="shared" si="17"/>
        <v>0</v>
      </c>
      <c r="M97" s="90">
        <f t="shared" si="17"/>
        <v>0</v>
      </c>
      <c r="N97" s="220">
        <f>N4+N30-N95+N96</f>
        <v>0</v>
      </c>
      <c r="O97" s="220">
        <f>O30+O4-O95</f>
        <v>0</v>
      </c>
      <c r="P97" s="220">
        <f>P30+P4-P95</f>
        <v>0</v>
      </c>
      <c r="Q97" s="220">
        <f>Q30+Q4-Q95</f>
        <v>0</v>
      </c>
    </row>
    <row r="98" spans="1:17" s="73" customFormat="1" x14ac:dyDescent="0.2">
      <c r="B98" s="128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9">
        <f>Баланс!B33</f>
        <v>0</v>
      </c>
      <c r="O98" s="228"/>
      <c r="P98" s="228"/>
      <c r="Q98" s="229"/>
    </row>
    <row r="99" spans="1:17" x14ac:dyDescent="0.2">
      <c r="A99" s="73"/>
      <c r="B99" s="130" t="s">
        <v>204</v>
      </c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9">
        <f>Баланс!B34</f>
        <v>0</v>
      </c>
      <c r="O99" s="228"/>
      <c r="P99" s="228"/>
      <c r="Q99" s="229"/>
    </row>
    <row r="100" spans="1:17" ht="17.25" customHeight="1" x14ac:dyDescent="0.2">
      <c r="A100" s="73"/>
      <c r="B100" s="131" t="s">
        <v>205</v>
      </c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228"/>
      <c r="P100" s="228"/>
      <c r="Q100" s="229"/>
    </row>
    <row r="101" spans="1:17" ht="18" customHeight="1" x14ac:dyDescent="0.2"/>
    <row r="102" spans="1:17" s="133" customFormat="1" ht="17.25" hidden="1" customHeight="1" x14ac:dyDescent="0.2">
      <c r="A102" s="133" t="s">
        <v>190</v>
      </c>
      <c r="B102" s="134">
        <f t="shared" ref="B102:M102" si="18">B19-B88</f>
        <v>0</v>
      </c>
      <c r="C102" s="134">
        <f t="shared" si="18"/>
        <v>0</v>
      </c>
      <c r="D102" s="134">
        <f t="shared" si="18"/>
        <v>0</v>
      </c>
      <c r="E102" s="134">
        <f t="shared" si="18"/>
        <v>0</v>
      </c>
      <c r="F102" s="134">
        <f t="shared" si="18"/>
        <v>0</v>
      </c>
      <c r="G102" s="134">
        <f t="shared" si="18"/>
        <v>0</v>
      </c>
      <c r="H102" s="134">
        <f t="shared" si="18"/>
        <v>0</v>
      </c>
      <c r="I102" s="134">
        <f t="shared" si="18"/>
        <v>0</v>
      </c>
      <c r="J102" s="134">
        <f t="shared" si="18"/>
        <v>0</v>
      </c>
      <c r="K102" s="134">
        <f t="shared" si="18"/>
        <v>0</v>
      </c>
      <c r="L102" s="134">
        <f t="shared" si="18"/>
        <v>0</v>
      </c>
      <c r="M102" s="134">
        <f t="shared" si="18"/>
        <v>0</v>
      </c>
      <c r="N102" s="134"/>
      <c r="O102" s="231">
        <f>O19-O88</f>
        <v>0</v>
      </c>
      <c r="P102" s="231">
        <f>P19-P88</f>
        <v>0</v>
      </c>
      <c r="Q102" s="231">
        <f>Q19-Q88</f>
        <v>0</v>
      </c>
    </row>
    <row r="103" spans="1:17" s="133" customFormat="1" ht="15" hidden="1" customHeight="1" x14ac:dyDescent="0.2">
      <c r="A103" s="133" t="s">
        <v>191</v>
      </c>
      <c r="B103" s="134">
        <f>B26</f>
        <v>0</v>
      </c>
      <c r="C103" s="134">
        <f>C26</f>
        <v>0</v>
      </c>
      <c r="D103" s="134">
        <f t="shared" ref="D103:N103" si="19">D26</f>
        <v>0</v>
      </c>
      <c r="E103" s="134">
        <f t="shared" si="19"/>
        <v>0</v>
      </c>
      <c r="F103" s="134">
        <f t="shared" si="19"/>
        <v>0</v>
      </c>
      <c r="G103" s="134">
        <f t="shared" si="19"/>
        <v>0</v>
      </c>
      <c r="H103" s="134">
        <f t="shared" si="19"/>
        <v>0</v>
      </c>
      <c r="I103" s="134">
        <f t="shared" si="19"/>
        <v>0</v>
      </c>
      <c r="J103" s="134">
        <f t="shared" si="19"/>
        <v>0</v>
      </c>
      <c r="K103" s="134">
        <f t="shared" si="19"/>
        <v>0</v>
      </c>
      <c r="L103" s="134">
        <f t="shared" si="19"/>
        <v>0</v>
      </c>
      <c r="M103" s="134">
        <f t="shared" si="19"/>
        <v>0</v>
      </c>
      <c r="N103" s="134">
        <f t="shared" si="19"/>
        <v>0</v>
      </c>
      <c r="O103" s="134">
        <f>O26+O27</f>
        <v>0</v>
      </c>
      <c r="P103" s="134">
        <f>P26+P27</f>
        <v>0</v>
      </c>
      <c r="Q103" s="134">
        <f>Q26+Q27</f>
        <v>0</v>
      </c>
    </row>
    <row r="104" spans="1:17" s="133" customFormat="1" ht="17.25" hidden="1" customHeight="1" x14ac:dyDescent="0.2">
      <c r="A104" s="133" t="s">
        <v>192</v>
      </c>
      <c r="B104" s="134">
        <f>B35</f>
        <v>0</v>
      </c>
      <c r="C104" s="134">
        <f>SUM($B35:C35)</f>
        <v>0</v>
      </c>
      <c r="D104" s="134">
        <f>SUM($B35:D35)</f>
        <v>0</v>
      </c>
      <c r="E104" s="134">
        <f>SUM($B35:E35)</f>
        <v>0</v>
      </c>
      <c r="F104" s="134">
        <f>SUM($B35:F35)</f>
        <v>0</v>
      </c>
      <c r="G104" s="134">
        <f>SUM($B35:G35)</f>
        <v>0</v>
      </c>
      <c r="H104" s="134">
        <f>SUM($B35:H35)</f>
        <v>0</v>
      </c>
      <c r="I104" s="134">
        <f>SUM($B35:I35)</f>
        <v>0</v>
      </c>
      <c r="J104" s="134">
        <f>SUM($B35:J35)</f>
        <v>0</v>
      </c>
      <c r="K104" s="134">
        <f>SUM($B35:K35)</f>
        <v>0</v>
      </c>
      <c r="L104" s="134">
        <f>SUM($B35:L35)</f>
        <v>0</v>
      </c>
      <c r="M104" s="134">
        <f>SUM($B35:M35)</f>
        <v>0</v>
      </c>
      <c r="N104" s="134">
        <f>M104</f>
        <v>0</v>
      </c>
      <c r="O104" s="231">
        <f>SUM(N35:O35)</f>
        <v>0</v>
      </c>
      <c r="P104" s="231">
        <f>SUM(N35:P35)</f>
        <v>0</v>
      </c>
      <c r="Q104" s="231">
        <f>SUM(N35:Q35)</f>
        <v>0</v>
      </c>
    </row>
    <row r="105" spans="1:17" s="133" customFormat="1" ht="19.5" hidden="1" customHeight="1" x14ac:dyDescent="0.2">
      <c r="A105" s="133" t="s">
        <v>193</v>
      </c>
      <c r="B105" s="134">
        <f>B36</f>
        <v>0</v>
      </c>
      <c r="C105" s="134">
        <f>SUM($B36:C36)</f>
        <v>0</v>
      </c>
      <c r="D105" s="134">
        <f>SUM($B36:D36)</f>
        <v>0</v>
      </c>
      <c r="E105" s="134">
        <f>SUM($B36:E36)</f>
        <v>0</v>
      </c>
      <c r="F105" s="134">
        <f>SUM($B36:F36)</f>
        <v>0</v>
      </c>
      <c r="G105" s="134">
        <f>SUM($B36:G36)</f>
        <v>0</v>
      </c>
      <c r="H105" s="134">
        <f>SUM($B36:H36)</f>
        <v>0</v>
      </c>
      <c r="I105" s="134">
        <f>SUM($B36:I36)</f>
        <v>0</v>
      </c>
      <c r="J105" s="134">
        <f>SUM($B36:J36)</f>
        <v>0</v>
      </c>
      <c r="K105" s="134">
        <f>SUM($B36:K36)</f>
        <v>0</v>
      </c>
      <c r="L105" s="134">
        <f>SUM($B36:L36)</f>
        <v>0</v>
      </c>
      <c r="M105" s="134">
        <f>SUM($B36:M36)</f>
        <v>0</v>
      </c>
      <c r="N105" s="134">
        <f>M105</f>
        <v>0</v>
      </c>
      <c r="O105" s="231">
        <f>SUM(N36:O36)</f>
        <v>0</v>
      </c>
      <c r="P105" s="231">
        <f>SUM(N36:P36)</f>
        <v>0</v>
      </c>
      <c r="Q105" s="231">
        <f>SUM(N36:Q36)</f>
        <v>0</v>
      </c>
    </row>
    <row r="106" spans="1:17" s="133" customFormat="1" ht="19.5" hidden="1" customHeight="1" x14ac:dyDescent="0.2">
      <c r="A106" s="133" t="s">
        <v>194</v>
      </c>
      <c r="B106" s="134">
        <f>SUM(B39:B41)</f>
        <v>0</v>
      </c>
      <c r="C106" s="134">
        <f>B26+B27</f>
        <v>0</v>
      </c>
      <c r="D106" s="134">
        <f>SUM($B39:D41)</f>
        <v>0</v>
      </c>
      <c r="E106" s="134">
        <f>SUM($B39:E41)</f>
        <v>0</v>
      </c>
      <c r="F106" s="134">
        <f>SUM($B39:F41)</f>
        <v>0</v>
      </c>
      <c r="G106" s="134">
        <f>SUM($B39:G41)</f>
        <v>0</v>
      </c>
      <c r="H106" s="134">
        <f>SUM($B39:H41)</f>
        <v>0</v>
      </c>
      <c r="I106" s="134">
        <f>SUM($B39:I41)</f>
        <v>0</v>
      </c>
      <c r="J106" s="134">
        <f>SUM($B39:J41)</f>
        <v>0</v>
      </c>
      <c r="K106" s="134">
        <f>SUM($B39:K41)</f>
        <v>0</v>
      </c>
      <c r="L106" s="134">
        <f>SUM($B39:L41)</f>
        <v>0</v>
      </c>
      <c r="M106" s="134">
        <f>SUM($B39:M41)</f>
        <v>0</v>
      </c>
      <c r="N106" s="134">
        <f>M106</f>
        <v>0</v>
      </c>
      <c r="O106" s="231">
        <f>SUM(N39:O41)</f>
        <v>0</v>
      </c>
      <c r="P106" s="231">
        <f>SUM(N39:P41)</f>
        <v>0</v>
      </c>
      <c r="Q106" s="231">
        <f>SUM(N39:Q41)</f>
        <v>0</v>
      </c>
    </row>
    <row r="107" spans="1:17" s="133" customFormat="1" ht="15" hidden="1" customHeight="1" x14ac:dyDescent="0.2">
      <c r="A107" s="133" t="s">
        <v>195</v>
      </c>
      <c r="B107" s="134">
        <f>B37+B38</f>
        <v>0</v>
      </c>
      <c r="C107" s="134">
        <f>SUM($B37:C38)</f>
        <v>0</v>
      </c>
      <c r="D107" s="134">
        <f>SUM($B37:D38)</f>
        <v>0</v>
      </c>
      <c r="E107" s="134">
        <f>SUM($B37:E38)</f>
        <v>0</v>
      </c>
      <c r="F107" s="134">
        <f>SUM($B37:F38)</f>
        <v>0</v>
      </c>
      <c r="G107" s="134">
        <f>SUM($B37:G38)</f>
        <v>0</v>
      </c>
      <c r="H107" s="134">
        <f>SUM($B37:H38)</f>
        <v>0</v>
      </c>
      <c r="I107" s="134">
        <f>SUM($B37:I38)</f>
        <v>0</v>
      </c>
      <c r="J107" s="134">
        <f>SUM($B37:J38)</f>
        <v>0</v>
      </c>
      <c r="K107" s="134">
        <f>SUM($B37:K38)</f>
        <v>0</v>
      </c>
      <c r="L107" s="134">
        <f>SUM($B37:L38)</f>
        <v>0</v>
      </c>
      <c r="M107" s="134">
        <f>SUM($B37:M38)</f>
        <v>0</v>
      </c>
      <c r="N107" s="134">
        <f>M107</f>
        <v>0</v>
      </c>
      <c r="O107" s="231">
        <f>SUM(N37:O38)</f>
        <v>0</v>
      </c>
      <c r="P107" s="231">
        <f>SUM(N37:P38)</f>
        <v>0</v>
      </c>
      <c r="Q107" s="231">
        <f>SUM(N37:Q38)</f>
        <v>0</v>
      </c>
    </row>
    <row r="108" spans="1:17" s="133" customFormat="1" ht="17.25" hidden="1" customHeight="1" x14ac:dyDescent="0.2">
      <c r="A108" s="133" t="s">
        <v>196</v>
      </c>
      <c r="B108" s="134">
        <f>B104*'Исходные данные '!$B4/100/12</f>
        <v>0</v>
      </c>
      <c r="C108" s="134">
        <f>C104*'Исходные данные '!$B4/100/12</f>
        <v>0</v>
      </c>
      <c r="D108" s="134">
        <f>D104*'Исходные данные '!$B4/100/12</f>
        <v>0</v>
      </c>
      <c r="E108" s="134">
        <f>E104*'Исходные данные '!$B4/100/12</f>
        <v>0</v>
      </c>
      <c r="F108" s="134">
        <f>F104*'Исходные данные '!$B4/100/12</f>
        <v>0</v>
      </c>
      <c r="G108" s="134">
        <f>G104*'Исходные данные '!$B4/100/12</f>
        <v>0</v>
      </c>
      <c r="H108" s="134">
        <f>H104*'Исходные данные '!$B4/100/12</f>
        <v>0</v>
      </c>
      <c r="I108" s="134">
        <f>I104*'Исходные данные '!$B4/100/12</f>
        <v>0</v>
      </c>
      <c r="J108" s="134">
        <f>J104*'Исходные данные '!$B4/100/12</f>
        <v>0</v>
      </c>
      <c r="K108" s="134">
        <f>K104*'Исходные данные '!$B4/100/12</f>
        <v>0</v>
      </c>
      <c r="L108" s="134">
        <f>L104*'Исходные данные '!$B4/100/12</f>
        <v>0</v>
      </c>
      <c r="M108" s="134">
        <f>M104*'Исходные данные '!$B4/100/12</f>
        <v>0</v>
      </c>
      <c r="N108" s="134">
        <f>Баланс!$B$15*'Исходные данные '!$B$4/100+SUM(B108:M108)</f>
        <v>0</v>
      </c>
      <c r="O108" s="231">
        <f>Баланс!$B$15*'Исходные данные '!$B$4/100+O104*'Исходные данные '!C4/100</f>
        <v>0</v>
      </c>
      <c r="P108" s="231">
        <f>Баланс!$B$15*'Исходные данные '!$B$4/100+P104*'Исходные данные '!D4/100</f>
        <v>0</v>
      </c>
      <c r="Q108" s="231">
        <f>Баланс!$B$15*'Исходные данные '!$B$4/100+Q104*'Исходные данные '!E4/100</f>
        <v>0</v>
      </c>
    </row>
    <row r="109" spans="1:17" s="133" customFormat="1" ht="21" hidden="1" customHeight="1" x14ac:dyDescent="0.2">
      <c r="A109" s="133" t="s">
        <v>197</v>
      </c>
      <c r="B109" s="134">
        <f>B106*'Исходные данные '!$B5/100/12</f>
        <v>0</v>
      </c>
      <c r="C109" s="134">
        <f>C106*'Исходные данные '!$B5/100/12</f>
        <v>0</v>
      </c>
      <c r="D109" s="134">
        <f>D106*'Исходные данные '!$B5/100/12</f>
        <v>0</v>
      </c>
      <c r="E109" s="134">
        <f>E106*'Исходные данные '!$B5/100/12</f>
        <v>0</v>
      </c>
      <c r="F109" s="134">
        <f>F106*'Исходные данные '!$B5/100/12</f>
        <v>0</v>
      </c>
      <c r="G109" s="134">
        <f>G106*'Исходные данные '!$B5/100/12</f>
        <v>0</v>
      </c>
      <c r="H109" s="134">
        <f>H106*'Исходные данные '!$B5/100/12</f>
        <v>0</v>
      </c>
      <c r="I109" s="134">
        <f>I106*'Исходные данные '!$B5/100/12</f>
        <v>0</v>
      </c>
      <c r="J109" s="134">
        <f>J106*'Исходные данные '!$B5/100/12</f>
        <v>0</v>
      </c>
      <c r="K109" s="134">
        <f>K106*'Исходные данные '!$B5/100/12</f>
        <v>0</v>
      </c>
      <c r="L109" s="134">
        <f>L106*'Исходные данные '!$B5/100/12</f>
        <v>0</v>
      </c>
      <c r="M109" s="134">
        <f>M106*'Исходные данные '!$B5/100/12</f>
        <v>0</v>
      </c>
      <c r="N109" s="134">
        <f>Баланс!B16*'Исходные данные '!B5/100+SUM(B109:M109)</f>
        <v>0</v>
      </c>
      <c r="O109" s="231">
        <f>Баланс!$B$16*'Исходные данные '!$B$5/100+O106*'Исходные данные '!C5/100</f>
        <v>0</v>
      </c>
      <c r="P109" s="231">
        <f>Баланс!$B$16*'Исходные данные '!$B$5/100+P106*'Исходные данные '!D5/100</f>
        <v>0</v>
      </c>
      <c r="Q109" s="231">
        <f>Баланс!$B$16*'Исходные данные '!$B$5/100+Q106*'Исходные данные '!E5/100</f>
        <v>0</v>
      </c>
    </row>
    <row r="110" spans="1:17" s="133" customFormat="1" ht="20.25" hidden="1" customHeight="1" x14ac:dyDescent="0.2">
      <c r="A110" s="133" t="s">
        <v>198</v>
      </c>
      <c r="B110" s="134">
        <f>B107*'Исходные данные '!$B5/100/12</f>
        <v>0</v>
      </c>
      <c r="C110" s="134">
        <f>C107*'Исходные данные '!$B5/100/12</f>
        <v>0</v>
      </c>
      <c r="D110" s="134">
        <f>D107*'Исходные данные '!$B5/100/12</f>
        <v>0</v>
      </c>
      <c r="E110" s="134">
        <f>E107*'Исходные данные '!$B5/100/12</f>
        <v>0</v>
      </c>
      <c r="F110" s="134">
        <f>F107*'Исходные данные '!$B5/100/12</f>
        <v>0</v>
      </c>
      <c r="G110" s="134">
        <f>G107*'Исходные данные '!$B5/100/12</f>
        <v>0</v>
      </c>
      <c r="H110" s="134">
        <f>H107*'Исходные данные '!$B5/100/12</f>
        <v>0</v>
      </c>
      <c r="I110" s="134">
        <f>I107*'Исходные данные '!$B5/100/12</f>
        <v>0</v>
      </c>
      <c r="J110" s="134">
        <f>J107*'Исходные данные '!$B5/100/12</f>
        <v>0</v>
      </c>
      <c r="K110" s="134">
        <f>K107*'Исходные данные '!$B5/100/12</f>
        <v>0</v>
      </c>
      <c r="L110" s="134">
        <f>L107*'Исходные данные '!$B5/100/12</f>
        <v>0</v>
      </c>
      <c r="M110" s="134">
        <f>M107*'Исходные данные '!$B5/100/12</f>
        <v>0</v>
      </c>
      <c r="N110" s="134">
        <f>Баланс!$B$22*'Исходные данные '!B$5/100+SUM(B110:M110)</f>
        <v>0</v>
      </c>
      <c r="O110" s="231">
        <f>Баланс!$B$22*'Исходные данные '!$B$5/100+O107*'Исходные данные '!C5/100</f>
        <v>0</v>
      </c>
      <c r="P110" s="231">
        <f>Баланс!$B$22*'Исходные данные '!$B$5/100+P107*'Исходные данные '!D5/100</f>
        <v>0</v>
      </c>
      <c r="Q110" s="231">
        <f>Баланс!$B$22*'Исходные данные '!$B$5/100+Q107*'Исходные данные '!E5/100</f>
        <v>0</v>
      </c>
    </row>
    <row r="111" spans="1:17" s="133" customFormat="1" ht="17.25" hidden="1" customHeight="1" x14ac:dyDescent="0.2">
      <c r="A111" s="133" t="s">
        <v>199</v>
      </c>
      <c r="B111" s="134">
        <f>B105*'Исходные данные '!$B4/100/12</f>
        <v>0</v>
      </c>
      <c r="C111" s="134">
        <f>C105*'Исходные данные '!$B4/100/12</f>
        <v>0</v>
      </c>
      <c r="D111" s="134">
        <f>D105*'Исходные данные '!$B4/100/12</f>
        <v>0</v>
      </c>
      <c r="E111" s="134">
        <f>E105*'Исходные данные '!$B4/100/12</f>
        <v>0</v>
      </c>
      <c r="F111" s="134">
        <f>F105*'Исходные данные '!$B4/100/12</f>
        <v>0</v>
      </c>
      <c r="G111" s="134">
        <f>G105*'Исходные данные '!$B4/100/12</f>
        <v>0</v>
      </c>
      <c r="H111" s="134">
        <f>H105*'Исходные данные '!$B4/100/12</f>
        <v>0</v>
      </c>
      <c r="I111" s="134">
        <f>I105*'Исходные данные '!$B4/100/12</f>
        <v>0</v>
      </c>
      <c r="J111" s="134">
        <f>J105*'Исходные данные '!$B4/100/12</f>
        <v>0</v>
      </c>
      <c r="K111" s="134">
        <f>K105*'Исходные данные '!$B4/100/12</f>
        <v>0</v>
      </c>
      <c r="L111" s="134">
        <f>L105*'Исходные данные '!$B4/100/12</f>
        <v>0</v>
      </c>
      <c r="M111" s="134">
        <f>M105*'Исходные данные '!$B4/100/12</f>
        <v>0</v>
      </c>
      <c r="N111" s="134">
        <f>SUM(B111:M111)</f>
        <v>0</v>
      </c>
      <c r="O111" s="231">
        <f>O105*'Исходные данные '!$B4/100</f>
        <v>0</v>
      </c>
      <c r="P111" s="231">
        <f>P105*'Исходные данные '!$B4/100</f>
        <v>0</v>
      </c>
      <c r="Q111" s="231">
        <f>Q105*'Исходные данные '!$B4/100</f>
        <v>0</v>
      </c>
    </row>
    <row r="112" spans="1:17" s="133" customFormat="1" ht="21" hidden="1" customHeight="1" x14ac:dyDescent="0.2">
      <c r="A112" s="133" t="s">
        <v>200</v>
      </c>
      <c r="B112" s="134">
        <f>B44</f>
        <v>0</v>
      </c>
      <c r="C112" s="134">
        <f>SUM($B$44:C44)</f>
        <v>0</v>
      </c>
      <c r="D112" s="134">
        <f>SUM($B$44:D44)</f>
        <v>0</v>
      </c>
      <c r="E112" s="134">
        <f>SUM($B$44:E44)</f>
        <v>0</v>
      </c>
      <c r="F112" s="134">
        <f>SUM($B$44:F44)</f>
        <v>0</v>
      </c>
      <c r="G112" s="134">
        <f>SUM($B$44:G44)</f>
        <v>0</v>
      </c>
      <c r="H112" s="134">
        <f>SUM($B$44:H44)</f>
        <v>0</v>
      </c>
      <c r="I112" s="134">
        <f>SUM($B$44:I44)</f>
        <v>0</v>
      </c>
      <c r="J112" s="134">
        <f>SUM($B$44:J44)</f>
        <v>0</v>
      </c>
      <c r="K112" s="134">
        <f>SUM($B$44:K44)</f>
        <v>0</v>
      </c>
      <c r="L112" s="134">
        <f>SUM($B$44:L44)</f>
        <v>0</v>
      </c>
      <c r="M112" s="134">
        <f>SUM($B$44:M44)</f>
        <v>0</v>
      </c>
      <c r="N112" s="134">
        <f>M112</f>
        <v>0</v>
      </c>
      <c r="O112" s="231">
        <f>SUM($N$44:O44)</f>
        <v>0</v>
      </c>
      <c r="P112" s="231">
        <f>SUM($N$44:P44)</f>
        <v>0</v>
      </c>
      <c r="Q112" s="231">
        <f>SUM($N$44:Q44)</f>
        <v>0</v>
      </c>
    </row>
    <row r="113" spans="1:17" ht="20.25" hidden="1" customHeight="1" x14ac:dyDescent="0.2">
      <c r="A113" s="133" t="s">
        <v>201</v>
      </c>
      <c r="B113" s="134">
        <f>B43</f>
        <v>0</v>
      </c>
      <c r="C113" s="134">
        <f>SUM($B$43:C43)</f>
        <v>0</v>
      </c>
      <c r="D113" s="134">
        <f>SUM($B$43:D43)</f>
        <v>0</v>
      </c>
      <c r="E113" s="134">
        <f>SUM($B$43:E43)</f>
        <v>0</v>
      </c>
      <c r="F113" s="134">
        <f>SUM($B$43:F43)</f>
        <v>0</v>
      </c>
      <c r="G113" s="134">
        <f>SUM($B$43:G43)</f>
        <v>0</v>
      </c>
      <c r="H113" s="134">
        <f>SUM($B$43:H43)</f>
        <v>0</v>
      </c>
      <c r="I113" s="134">
        <f>SUM($B$43:I43)</f>
        <v>0</v>
      </c>
      <c r="J113" s="134">
        <f>SUM($B$43:J43)</f>
        <v>0</v>
      </c>
      <c r="K113" s="134">
        <f>SUM($B$43:K43)</f>
        <v>0</v>
      </c>
      <c r="L113" s="134">
        <f>SUM($B$43:L43)</f>
        <v>0</v>
      </c>
      <c r="M113" s="134">
        <f>SUM($B$43:M43)</f>
        <v>0</v>
      </c>
      <c r="N113" s="134">
        <f>M113</f>
        <v>0</v>
      </c>
      <c r="O113" s="231">
        <f>SUM($N$43:O43)</f>
        <v>0</v>
      </c>
      <c r="P113" s="231">
        <f>SUM($N$43:P43)</f>
        <v>0</v>
      </c>
      <c r="Q113" s="231">
        <f>SUM($N$43:Q43)</f>
        <v>0</v>
      </c>
    </row>
    <row r="114" spans="1:17" ht="18" hidden="1" customHeight="1" x14ac:dyDescent="0.2">
      <c r="A114" s="133" t="s">
        <v>202</v>
      </c>
      <c r="B114" s="134">
        <f>B112*'Исходные данные '!$B6/100/12</f>
        <v>0</v>
      </c>
      <c r="C114" s="134">
        <f>C112*'Исходные данные '!$B6/100/12</f>
        <v>0</v>
      </c>
      <c r="D114" s="134">
        <f>D112*'Исходные данные '!$B6/100/12</f>
        <v>0</v>
      </c>
      <c r="E114" s="134">
        <f>E112*'Исходные данные '!$B6/100/12</f>
        <v>0</v>
      </c>
      <c r="F114" s="134">
        <f>F112*'Исходные данные '!$B6/100/12</f>
        <v>0</v>
      </c>
      <c r="G114" s="134">
        <f>G112*'Исходные данные '!$B6/100/12</f>
        <v>0</v>
      </c>
      <c r="H114" s="134">
        <f>H112*'Исходные данные '!$B6/100/12</f>
        <v>0</v>
      </c>
      <c r="I114" s="134">
        <f>I112*'Исходные данные '!$B6/100/12</f>
        <v>0</v>
      </c>
      <c r="J114" s="134">
        <f>J112*'Исходные данные '!$B6/100/12</f>
        <v>0</v>
      </c>
      <c r="K114" s="134">
        <f>K112*'Исходные данные '!$B6/100/12</f>
        <v>0</v>
      </c>
      <c r="L114" s="134">
        <f>L112*'Исходные данные '!$B6/100/12</f>
        <v>0</v>
      </c>
      <c r="M114" s="134">
        <f>M112*'Исходные данные '!$B6/100/12</f>
        <v>0</v>
      </c>
      <c r="N114" s="134">
        <f>Баланс!B19*'Исходные данные '!B6/100+SUM(B114:M114)</f>
        <v>0</v>
      </c>
      <c r="O114" s="231">
        <f>Баланс!$B$19*'Исходные данные '!$B$6/100+O112*'Исходные данные '!C6/100</f>
        <v>0</v>
      </c>
      <c r="P114" s="231">
        <f>Баланс!$B$19*'Исходные данные '!$B$6/100+P112*'Исходные данные '!D6/100</f>
        <v>0</v>
      </c>
      <c r="Q114" s="231">
        <f>Баланс!$B$19*'Исходные данные '!$B$6/100+Q112*'Исходные данные '!E6/100</f>
        <v>0</v>
      </c>
    </row>
    <row r="115" spans="1:17" ht="30" hidden="1" customHeight="1" x14ac:dyDescent="0.2">
      <c r="A115" s="133" t="s">
        <v>203</v>
      </c>
      <c r="B115" s="134">
        <f>B113*'Исходные данные '!$B6/100/12</f>
        <v>0</v>
      </c>
      <c r="C115" s="134">
        <f>C113*'Исходные данные '!$B6/100/12</f>
        <v>0</v>
      </c>
      <c r="D115" s="134">
        <f>D113*'Исходные данные '!$B6/100/12</f>
        <v>0</v>
      </c>
      <c r="E115" s="134">
        <f>E113*'Исходные данные '!$B6/100/12</f>
        <v>0</v>
      </c>
      <c r="F115" s="134">
        <f>F113*'Исходные данные '!$B6/100/12</f>
        <v>0</v>
      </c>
      <c r="G115" s="134">
        <f>G113*'Исходные данные '!$B6/100/12</f>
        <v>0</v>
      </c>
      <c r="H115" s="134">
        <f>H113*'Исходные данные '!$B6/100/12</f>
        <v>0</v>
      </c>
      <c r="I115" s="134">
        <f>I113*'Исходные данные '!$B6/100/12</f>
        <v>0</v>
      </c>
      <c r="J115" s="134">
        <f>J113*'Исходные данные '!$B6/100/12</f>
        <v>0</v>
      </c>
      <c r="K115" s="134">
        <f>K113*'Исходные данные '!$B6/100/12</f>
        <v>0</v>
      </c>
      <c r="L115" s="134">
        <f>L113*'Исходные данные '!$B6/100/12</f>
        <v>0</v>
      </c>
      <c r="M115" s="134">
        <f>M113*'Исходные данные '!$B6/100/12</f>
        <v>0</v>
      </c>
      <c r="N115" s="134">
        <f>Баланс!$B$23*'Исходные данные '!B$6/100+SUM(B115:M115)</f>
        <v>0</v>
      </c>
      <c r="O115" s="231">
        <f>Баланс!$B$23*'Исходные данные '!$B$6/100+O113*'Исходные данные '!C6/100</f>
        <v>0</v>
      </c>
      <c r="P115" s="231">
        <f>Баланс!$B$23*'Исходные данные '!$B$6/100+P113*'Исходные данные '!D6/100</f>
        <v>0</v>
      </c>
      <c r="Q115" s="231">
        <f>Баланс!$B$23*'Исходные данные '!$B$6/100+Q113*'Исходные данные '!E6/100</f>
        <v>0</v>
      </c>
    </row>
  </sheetData>
  <sheetProtection algorithmName="SHA-512" hashValue="Is32HN7X3U3Mv3PU4brcL4uw6i65QGXYmvd/5fDf8dVzMrLkmzCo7mFoFEQB5QTdRgrr09LI9gYbDuCfVkOgpQ==" saltValue="ObqCBt1nbFKEknkEFlVQWg==" spinCount="100000" sheet="1" objects="1" scenarios="1"/>
  <phoneticPr fontId="2" type="noConversion"/>
  <conditionalFormatting sqref="B97:Q97">
    <cfRule type="cellIs" dxfId="7" priority="1" stopIfTrue="1" operator="lessThan">
      <formula>0</formula>
    </cfRule>
  </conditionalFormatting>
  <conditionalFormatting sqref="N90">
    <cfRule type="expression" dxfId="6" priority="2" stopIfTrue="1">
      <formula>SUM(B90:M90)=N99</formula>
    </cfRule>
    <cfRule type="expression" dxfId="5" priority="3" stopIfTrue="1">
      <formula>N99-SUM(B90:M90)&lt;0</formula>
    </cfRule>
    <cfRule type="expression" dxfId="4" priority="4" stopIfTrue="1">
      <formula>N99-SUM(B90:M90)&gt;0</formula>
    </cfRule>
  </conditionalFormatting>
  <conditionalFormatting sqref="N91">
    <cfRule type="expression" dxfId="3" priority="8" stopIfTrue="1">
      <formula>SUM(B91:M91)&lt;N98</formula>
    </cfRule>
    <cfRule type="expression" dxfId="2" priority="9" stopIfTrue="1">
      <formula>AND(SUM(B91:M91)&gt;=N98,SUM(B91:M91)&lt;=(N98+SUM(B22:M22)))</formula>
    </cfRule>
    <cfRule type="expression" dxfId="1" priority="10" stopIfTrue="1">
      <formula>SUM(B91:M91)&gt;(N98+SUM(B22:M22))</formula>
    </cfRule>
  </conditionalFormatting>
  <dataValidations xWindow="829" yWindow="474" count="2">
    <dataValidation allowBlank="1" showInputMessage="1" showErrorMessage="1" prompt="Lahtri sisu ei saa olla suurem ega väiksem kui bilansi rea B27 ehk &quot;Lühiajalised võlakohustused (laenud, kapitalirent)&quot; ja kassavoogude rea N22  summa." sqref="N91" xr:uid="{00000000-0002-0000-0200-000000000000}"/>
    <dataValidation allowBlank="1" showInputMessage="1" showErrorMessage="1" prompt="Lahtri sisu (summa) ei saa olla suurem kui bilansi real B28 ehk &quot;Pikaajaliste laenude, kapitalirendi lühiajaline osa&quot; näidatud summa!_x000a_" sqref="N90" xr:uid="{00000000-0002-0000-0200-000001000000}"/>
  </dataValidations>
  <pageMargins left="0.19685039370078741" right="0.19685039370078741" top="0.39370078740157483" bottom="0.35433070866141736" header="0" footer="0"/>
  <pageSetup paperSize="8" scale="55" orientation="landscape" r:id="rId1"/>
  <headerFooter alignWithMargins="0">
    <oddHeader>&amp;L&amp;"Arial,Kursiiv"&amp;8Financial forecasts for a start-up entrepreneur&amp;C&amp;R</oddHeader>
  </headerFooter>
  <rowBreaks count="3" manualBreakCount="3">
    <brk id="44" max="16383" man="1"/>
    <brk id="52" max="16383" man="1"/>
    <brk id="10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eht4">
    <pageSetUpPr fitToPage="1"/>
  </sheetPr>
  <dimension ref="A1:E71"/>
  <sheetViews>
    <sheetView workbookViewId="0">
      <selection activeCell="C15" sqref="C15"/>
    </sheetView>
  </sheetViews>
  <sheetFormatPr defaultColWidth="9.140625" defaultRowHeight="12.75" x14ac:dyDescent="0.2"/>
  <cols>
    <col min="1" max="1" width="42.28515625" style="154" customWidth="1"/>
    <col min="2" max="4" width="12.42578125" style="132" customWidth="1"/>
    <col min="5" max="5" width="12.42578125" style="136" customWidth="1"/>
    <col min="6" max="16384" width="9.140625" style="136"/>
  </cols>
  <sheetData>
    <row r="1" spans="1:5" x14ac:dyDescent="0.2">
      <c r="A1" s="135" t="s">
        <v>211</v>
      </c>
      <c r="B1" s="64" t="s">
        <v>246</v>
      </c>
      <c r="C1" s="64" t="s">
        <v>207</v>
      </c>
      <c r="D1" s="64" t="s">
        <v>208</v>
      </c>
      <c r="E1" s="64" t="s">
        <v>209</v>
      </c>
    </row>
    <row r="2" spans="1:5" ht="12" customHeight="1" x14ac:dyDescent="0.2">
      <c r="A2" s="135"/>
      <c r="B2" s="341">
        <f>'Кассовый денежный поток'!N2</f>
        <v>2022</v>
      </c>
      <c r="C2" s="341">
        <f>'Кассовый денежный поток'!O2</f>
        <v>2023</v>
      </c>
      <c r="D2" s="341">
        <f>'Кассовый денежный поток'!P2</f>
        <v>2024</v>
      </c>
      <c r="E2" s="341">
        <f>'Кассовый денежный поток'!Q2</f>
        <v>2025</v>
      </c>
    </row>
    <row r="3" spans="1:5" ht="17.25" customHeight="1" x14ac:dyDescent="0.2">
      <c r="A3" s="135"/>
      <c r="B3" s="64"/>
      <c r="C3" s="64"/>
      <c r="D3" s="64"/>
      <c r="E3" s="64"/>
    </row>
    <row r="4" spans="1:5" x14ac:dyDescent="0.2">
      <c r="A4" s="137" t="s">
        <v>212</v>
      </c>
      <c r="B4" s="76"/>
      <c r="C4" s="76"/>
      <c r="D4" s="76"/>
      <c r="E4" s="76"/>
    </row>
    <row r="5" spans="1:5" x14ac:dyDescent="0.2">
      <c r="A5" s="138" t="s">
        <v>213</v>
      </c>
      <c r="B5" s="183">
        <f>'Кассовый денежный поток'!N7</f>
        <v>0</v>
      </c>
      <c r="C5" s="183">
        <f>'Кассовый денежный поток'!O7</f>
        <v>0</v>
      </c>
      <c r="D5" s="183">
        <f>'Кассовый денежный поток'!P7</f>
        <v>0</v>
      </c>
      <c r="E5" s="183">
        <f>'Кассовый денежный поток'!Q7</f>
        <v>0</v>
      </c>
    </row>
    <row r="6" spans="1:5" x14ac:dyDescent="0.2">
      <c r="A6" s="139" t="s">
        <v>214</v>
      </c>
      <c r="B6" s="183">
        <f>'Кассовый денежный поток'!N9</f>
        <v>0</v>
      </c>
      <c r="C6" s="183">
        <f>'Кассовый денежный поток'!O9</f>
        <v>0</v>
      </c>
      <c r="D6" s="183">
        <f>'Кассовый денежный поток'!P9</f>
        <v>0</v>
      </c>
      <c r="E6" s="183">
        <f>'Кассовый денежный поток'!Q9</f>
        <v>0</v>
      </c>
    </row>
    <row r="7" spans="1:5" x14ac:dyDescent="0.2">
      <c r="A7" s="139" t="s">
        <v>215</v>
      </c>
      <c r="B7" s="251" t="str">
        <f>IF(B6&gt;0,B6/B5,"")</f>
        <v/>
      </c>
      <c r="C7" s="251" t="str">
        <f>IF(C6&gt;0,C6/C5,"")</f>
        <v/>
      </c>
      <c r="D7" s="251" t="str">
        <f>IF(D6&gt;0,D6/D5,"")</f>
        <v/>
      </c>
      <c r="E7" s="251" t="str">
        <f>IF(E6&gt;0,E6/E5,"")</f>
        <v/>
      </c>
    </row>
    <row r="8" spans="1:5" x14ac:dyDescent="0.2">
      <c r="A8" s="140" t="s">
        <v>216</v>
      </c>
      <c r="B8" s="183">
        <f>'Кассовый денежный поток'!N10</f>
        <v>0</v>
      </c>
      <c r="C8" s="183">
        <f>'Кассовый денежный поток'!O10</f>
        <v>0</v>
      </c>
      <c r="D8" s="183">
        <f>'Кассовый денежный поток'!P10</f>
        <v>0</v>
      </c>
      <c r="E8" s="183">
        <f>'Кассовый денежный поток'!Q10</f>
        <v>0</v>
      </c>
    </row>
    <row r="9" spans="1:5" ht="25.5" x14ac:dyDescent="0.2">
      <c r="A9" s="346" t="s">
        <v>217</v>
      </c>
      <c r="B9" s="184">
        <f>IF(B5&gt;0,B5/B8,0)</f>
        <v>0</v>
      </c>
      <c r="C9" s="184">
        <f>IF(C5&gt;0,C5/C8,0)</f>
        <v>0</v>
      </c>
      <c r="D9" s="184">
        <f>IF(D5&gt;0,D5/D8,0)</f>
        <v>0</v>
      </c>
      <c r="E9" s="184">
        <f>IF(E5&gt;0,E5/E8,0)</f>
        <v>0</v>
      </c>
    </row>
    <row r="10" spans="1:5" x14ac:dyDescent="0.2">
      <c r="A10" s="138" t="s">
        <v>218</v>
      </c>
      <c r="B10" s="183">
        <f>'Кассовый денежный поток'!N18+'Кассовый денежный поток'!N29</f>
        <v>0</v>
      </c>
      <c r="C10" s="183">
        <f>'Кассовый денежный поток'!O18+'Кассовый денежный поток'!O29</f>
        <v>0</v>
      </c>
      <c r="D10" s="183">
        <f>'Кассовый денежный поток'!P18+'Кассовый денежный поток'!P29</f>
        <v>0</v>
      </c>
      <c r="E10" s="183">
        <f>'Кассовый денежный поток'!Q18+'Кассовый денежный поток'!Q29</f>
        <v>0</v>
      </c>
    </row>
    <row r="11" spans="1:5" x14ac:dyDescent="0.2">
      <c r="A11" s="141" t="s">
        <v>219</v>
      </c>
      <c r="B11" s="185">
        <f>B5+B10</f>
        <v>0</v>
      </c>
      <c r="C11" s="185">
        <f>C5+C10</f>
        <v>0</v>
      </c>
      <c r="D11" s="185">
        <f>D5+D10</f>
        <v>0</v>
      </c>
      <c r="E11" s="185">
        <f>E5+E10</f>
        <v>0</v>
      </c>
    </row>
    <row r="12" spans="1:5" x14ac:dyDescent="0.2">
      <c r="A12" s="333" t="s">
        <v>220</v>
      </c>
      <c r="B12" s="334">
        <f>'Кассовый денежный поток'!N26</f>
        <v>0</v>
      </c>
      <c r="C12" s="334">
        <f>'Кассовый денежный поток'!O26</f>
        <v>0</v>
      </c>
      <c r="D12" s="334">
        <f>'Кассовый денежный поток'!P26</f>
        <v>0</v>
      </c>
      <c r="E12" s="334">
        <f>'Кассовый денежный поток'!Q26</f>
        <v>0</v>
      </c>
    </row>
    <row r="13" spans="1:5" ht="14.25" customHeight="1" x14ac:dyDescent="0.2">
      <c r="A13" s="335" t="s">
        <v>221</v>
      </c>
      <c r="B13" s="336">
        <f>B5+B10+B12</f>
        <v>0</v>
      </c>
      <c r="C13" s="336">
        <f>C5+C10+C12</f>
        <v>0</v>
      </c>
      <c r="D13" s="336">
        <f>D5+D10+D12</f>
        <v>0</v>
      </c>
      <c r="E13" s="336">
        <f>E5+E10+E12</f>
        <v>0</v>
      </c>
    </row>
    <row r="14" spans="1:5" ht="15" customHeight="1" x14ac:dyDescent="0.2">
      <c r="A14" s="142"/>
      <c r="B14" s="164"/>
      <c r="C14" s="164"/>
      <c r="D14" s="164"/>
      <c r="E14" s="164"/>
    </row>
    <row r="15" spans="1:5" x14ac:dyDescent="0.2">
      <c r="A15" s="142" t="s">
        <v>222</v>
      </c>
      <c r="B15" s="164"/>
      <c r="C15" s="250" t="e">
        <f>(C11-B11)/ABS(B11)</f>
        <v>#DIV/0!</v>
      </c>
      <c r="D15" s="337" t="e">
        <f>(D11-C11)/ABS(C11)</f>
        <v>#DIV/0!</v>
      </c>
      <c r="E15" s="250" t="e">
        <f>(E11-D11)/ABS(D11)</f>
        <v>#DIV/0!</v>
      </c>
    </row>
    <row r="16" spans="1:5" ht="3.75" customHeight="1" x14ac:dyDescent="0.2">
      <c r="A16" s="143"/>
      <c r="B16" s="164"/>
      <c r="C16" s="164"/>
      <c r="D16" s="164"/>
      <c r="E16" s="164"/>
    </row>
    <row r="17" spans="1:5" x14ac:dyDescent="0.2">
      <c r="A17" s="144" t="s">
        <v>223</v>
      </c>
      <c r="B17" s="165"/>
      <c r="C17" s="165"/>
      <c r="D17" s="165"/>
      <c r="E17" s="165"/>
    </row>
    <row r="18" spans="1:5" x14ac:dyDescent="0.2">
      <c r="A18" s="145" t="s">
        <v>224</v>
      </c>
      <c r="B18" s="165"/>
      <c r="C18" s="165"/>
      <c r="D18" s="165"/>
      <c r="E18" s="165"/>
    </row>
    <row r="19" spans="1:5" x14ac:dyDescent="0.2">
      <c r="A19" s="138" t="str">
        <f>'[1]Кассовый денежный поток'!A48</f>
        <v>Сырье и материалы</v>
      </c>
      <c r="B19" s="186">
        <f>Продукция!R5</f>
        <v>0</v>
      </c>
      <c r="C19" s="186">
        <f>Продукция!S5</f>
        <v>0</v>
      </c>
      <c r="D19" s="186">
        <f>Продукция!T5</f>
        <v>0</v>
      </c>
      <c r="E19" s="186">
        <f>Продукция!U5</f>
        <v>0</v>
      </c>
    </row>
    <row r="20" spans="1:5" x14ac:dyDescent="0.2">
      <c r="A20" s="146" t="str">
        <f>'[1]Кассовый денежный поток'!A49</f>
        <v>Приобретенные услуги</v>
      </c>
      <c r="B20" s="183">
        <f>'Кассовый денежный поток'!N49</f>
        <v>0</v>
      </c>
      <c r="C20" s="183">
        <f>'Кассовый денежный поток'!O49</f>
        <v>0</v>
      </c>
      <c r="D20" s="183">
        <f>'Кассовый денежный поток'!P49</f>
        <v>0</v>
      </c>
      <c r="E20" s="183">
        <f>'Кассовый денежный поток'!Q49</f>
        <v>0</v>
      </c>
    </row>
    <row r="21" spans="1:5" x14ac:dyDescent="0.2">
      <c r="A21" s="147"/>
      <c r="B21" s="187">
        <f>SUM(B19:B20)</f>
        <v>0</v>
      </c>
      <c r="C21" s="187">
        <f>SUM(C19:C20)</f>
        <v>0</v>
      </c>
      <c r="D21" s="187">
        <f>SUM(D19:D20)</f>
        <v>0</v>
      </c>
      <c r="E21" s="187">
        <f>SUM(E19:E20)</f>
        <v>0</v>
      </c>
    </row>
    <row r="22" spans="1:5" x14ac:dyDescent="0.2">
      <c r="A22" s="145" t="s">
        <v>225</v>
      </c>
      <c r="B22" s="187"/>
      <c r="C22" s="187"/>
      <c r="D22" s="187"/>
      <c r="E22" s="187"/>
    </row>
    <row r="23" spans="1:5" x14ac:dyDescent="0.2">
      <c r="A23" s="146" t="str">
        <f>'[1]Кассовый денежный поток'!A53</f>
        <v>Расходы на рекламу</v>
      </c>
      <c r="B23" s="183">
        <f>'Кассовый денежный поток'!N53</f>
        <v>0</v>
      </c>
      <c r="C23" s="183">
        <f>'Кассовый денежный поток'!O53</f>
        <v>0</v>
      </c>
      <c r="D23" s="183">
        <f>'Кассовый денежный поток'!P53</f>
        <v>0</v>
      </c>
      <c r="E23" s="183">
        <f>'Кассовый денежный поток'!Q53</f>
        <v>0</v>
      </c>
    </row>
    <row r="24" spans="1:5" ht="25.5" x14ac:dyDescent="0.2">
      <c r="A24" s="347" t="str">
        <f>'[1]Кассовый денежный поток'!A54</f>
        <v>Транспортные услуги, связанные со сбытом</v>
      </c>
      <c r="B24" s="188">
        <f>'Кассовый денежный поток'!N54</f>
        <v>0</v>
      </c>
      <c r="C24" s="188">
        <f>'Кассовый денежный поток'!O54</f>
        <v>0</v>
      </c>
      <c r="D24" s="188">
        <f>'Кассовый денежный поток'!P54</f>
        <v>0</v>
      </c>
      <c r="E24" s="188">
        <f>'Кассовый денежный поток'!Q54</f>
        <v>0</v>
      </c>
    </row>
    <row r="25" spans="1:5" ht="25.5" x14ac:dyDescent="0.2">
      <c r="A25" s="347" t="str">
        <f>'[1]Кассовый денежный поток'!A55</f>
        <v>Горючее для автомобилей в связи со сбытом</v>
      </c>
      <c r="B25" s="183">
        <f>'Кассовый денежный поток'!N55</f>
        <v>0</v>
      </c>
      <c r="C25" s="183">
        <f>'Кассовый денежный поток'!O55</f>
        <v>0</v>
      </c>
      <c r="D25" s="183">
        <f>'Кассовый денежный поток'!P55</f>
        <v>0</v>
      </c>
      <c r="E25" s="183">
        <f>'Кассовый денежный поток'!Q55</f>
        <v>0</v>
      </c>
    </row>
    <row r="26" spans="1:5" x14ac:dyDescent="0.2">
      <c r="A26" s="147"/>
      <c r="B26" s="187">
        <f>SUM(B23:B25)</f>
        <v>0</v>
      </c>
      <c r="C26" s="187">
        <f>SUM(C23:C25)</f>
        <v>0</v>
      </c>
      <c r="D26" s="187">
        <f>SUM(D23:D25)</f>
        <v>0</v>
      </c>
      <c r="E26" s="187">
        <f>SUM(E23:E25)</f>
        <v>0</v>
      </c>
    </row>
    <row r="27" spans="1:5" x14ac:dyDescent="0.2">
      <c r="A27" s="148" t="s">
        <v>226</v>
      </c>
      <c r="B27" s="187"/>
      <c r="C27" s="187"/>
      <c r="D27" s="187"/>
      <c r="E27" s="187"/>
    </row>
    <row r="28" spans="1:5" x14ac:dyDescent="0.2">
      <c r="A28" s="149" t="s">
        <v>227</v>
      </c>
      <c r="B28" s="187"/>
      <c r="C28" s="187"/>
      <c r="D28" s="187"/>
      <c r="E28" s="187"/>
    </row>
    <row r="29" spans="1:5" x14ac:dyDescent="0.2">
      <c r="A29" s="138" t="str">
        <f>'[1]Кассовый денежный поток'!A60</f>
        <v>Отопление</v>
      </c>
      <c r="B29" s="183">
        <f>'Кассовый денежный поток'!N60</f>
        <v>0</v>
      </c>
      <c r="C29" s="183">
        <f>'Кассовый денежный поток'!O60</f>
        <v>0</v>
      </c>
      <c r="D29" s="183">
        <f>'Кассовый денежный поток'!P60</f>
        <v>0</v>
      </c>
      <c r="E29" s="183">
        <f>'Кассовый денежный поток'!Q60</f>
        <v>0</v>
      </c>
    </row>
    <row r="30" spans="1:5" x14ac:dyDescent="0.2">
      <c r="A30" s="138" t="str">
        <f>'[1]Кассовый денежный поток'!A61</f>
        <v>Электричество</v>
      </c>
      <c r="B30" s="183">
        <f>'Кассовый денежный поток'!N61</f>
        <v>0</v>
      </c>
      <c r="C30" s="183">
        <f>'Кассовый денежный поток'!O61</f>
        <v>0</v>
      </c>
      <c r="D30" s="183">
        <f>'Кассовый денежный поток'!P61</f>
        <v>0</v>
      </c>
      <c r="E30" s="183">
        <f>'Кассовый денежный поток'!Q61</f>
        <v>0</v>
      </c>
    </row>
    <row r="31" spans="1:5" x14ac:dyDescent="0.2">
      <c r="A31" s="138" t="str">
        <f>'[1]Кассовый денежный поток'!A62</f>
        <v>Аренда</v>
      </c>
      <c r="B31" s="183">
        <f>'Кассовый денежный поток'!N62</f>
        <v>0</v>
      </c>
      <c r="C31" s="183">
        <f>'Кассовый денежный поток'!O62</f>
        <v>0</v>
      </c>
      <c r="D31" s="183">
        <f>'Кассовый денежный поток'!P62</f>
        <v>0</v>
      </c>
      <c r="E31" s="183">
        <f>'Кассовый денежный поток'!Q62</f>
        <v>0</v>
      </c>
    </row>
    <row r="32" spans="1:5" x14ac:dyDescent="0.2">
      <c r="A32" s="138" t="str">
        <f>'[1]Кассовый денежный поток'!A63</f>
        <v>Услуги по охране</v>
      </c>
      <c r="B32" s="183">
        <f>'Кассовый денежный поток'!N63</f>
        <v>0</v>
      </c>
      <c r="C32" s="183">
        <f>'Кассовый денежный поток'!O63</f>
        <v>0</v>
      </c>
      <c r="D32" s="183">
        <f>'Кассовый денежный поток'!P63</f>
        <v>0</v>
      </c>
      <c r="E32" s="183">
        <f>'Кассовый денежный поток'!Q63</f>
        <v>0</v>
      </c>
    </row>
    <row r="33" spans="1:5" x14ac:dyDescent="0.2">
      <c r="A33" s="138" t="str">
        <f>'[1]Кассовый денежный поток'!A64</f>
        <v>Расходы на содержание помещений</v>
      </c>
      <c r="B33" s="183">
        <f>'Кассовый денежный поток'!N64</f>
        <v>0</v>
      </c>
      <c r="C33" s="183">
        <f>'Кассовый денежный поток'!O64</f>
        <v>0</v>
      </c>
      <c r="D33" s="183">
        <f>'Кассовый денежный поток'!P64</f>
        <v>0</v>
      </c>
      <c r="E33" s="183">
        <f>'Кассовый денежный поток'!Q64</f>
        <v>0</v>
      </c>
    </row>
    <row r="34" spans="1:5" x14ac:dyDescent="0.2">
      <c r="A34" s="138" t="str">
        <f>'[1]Кассовый денежный поток'!A65</f>
        <v>Расходы на ремонт помещений</v>
      </c>
      <c r="B34" s="186">
        <f>'Кассовый денежный поток'!N65</f>
        <v>0</v>
      </c>
      <c r="C34" s="186">
        <f>'Кассовый денежный поток'!O65</f>
        <v>0</v>
      </c>
      <c r="D34" s="186">
        <f>'Кассовый денежный поток'!P65</f>
        <v>0</v>
      </c>
      <c r="E34" s="186">
        <f>'Кассовый денежный поток'!Q65</f>
        <v>0</v>
      </c>
    </row>
    <row r="35" spans="1:5" x14ac:dyDescent="0.2">
      <c r="A35" s="138" t="str">
        <f>'[1]Кассовый денежный поток'!A66</f>
        <v>Страхование помещений</v>
      </c>
      <c r="B35" s="183">
        <f>'Кассовый денежный поток'!N66</f>
        <v>0</v>
      </c>
      <c r="C35" s="183">
        <f>'Кассовый денежный поток'!O66</f>
        <v>0</v>
      </c>
      <c r="D35" s="183">
        <f>'Кассовый денежный поток'!P66</f>
        <v>0</v>
      </c>
      <c r="E35" s="183">
        <f>'Кассовый денежный поток'!Q66</f>
        <v>0</v>
      </c>
    </row>
    <row r="36" spans="1:5" x14ac:dyDescent="0.2">
      <c r="A36" s="149" t="s">
        <v>228</v>
      </c>
      <c r="B36" s="187"/>
      <c r="C36" s="187"/>
      <c r="D36" s="187"/>
      <c r="E36" s="187"/>
    </row>
    <row r="37" spans="1:5" x14ac:dyDescent="0.2">
      <c r="A37" s="138" t="str">
        <f>'[1]Кассовый денежный поток'!A68</f>
        <v>Приобретенные транспортные услуги</v>
      </c>
      <c r="B37" s="183">
        <f>'Кассовый денежный поток'!N68</f>
        <v>0</v>
      </c>
      <c r="C37" s="183">
        <f>'Кассовый денежный поток'!O68</f>
        <v>0</v>
      </c>
      <c r="D37" s="183">
        <f>'Кассовый денежный поток'!P68</f>
        <v>0</v>
      </c>
      <c r="E37" s="183">
        <f>'Кассовый денежный поток'!Q68</f>
        <v>0</v>
      </c>
    </row>
    <row r="38" spans="1:5" x14ac:dyDescent="0.2">
      <c r="A38" s="138" t="str">
        <f>'[1]Кассовый денежный поток'!A69</f>
        <v>Горючее для автомобилей</v>
      </c>
      <c r="B38" s="188">
        <f>'Кассовый денежный поток'!N69</f>
        <v>0</v>
      </c>
      <c r="C38" s="188">
        <f>'Кассовый денежный поток'!O69</f>
        <v>0</v>
      </c>
      <c r="D38" s="188">
        <f>'Кассовый денежный поток'!P69</f>
        <v>0</v>
      </c>
      <c r="E38" s="188">
        <f>'Кассовый денежный поток'!Q69</f>
        <v>0</v>
      </c>
    </row>
    <row r="39" spans="1:5" ht="25.5" x14ac:dyDescent="0.2">
      <c r="A39" s="347" t="str">
        <f>'[1]Кассовый денежный поток'!A70</f>
        <v>Техобслуживание автомобилей и ремонтные расходы</v>
      </c>
      <c r="B39" s="186">
        <f>'Кассовый денежный поток'!N70</f>
        <v>0</v>
      </c>
      <c r="C39" s="186">
        <f>'Кассовый денежный поток'!O70</f>
        <v>0</v>
      </c>
      <c r="D39" s="186">
        <f>'Кассовый денежный поток'!P70</f>
        <v>0</v>
      </c>
      <c r="E39" s="186">
        <f>'Кассовый денежный поток'!Q70</f>
        <v>0</v>
      </c>
    </row>
    <row r="40" spans="1:5" x14ac:dyDescent="0.2">
      <c r="A40" s="138" t="str">
        <f>'[1]Кассовый денежный поток'!A71</f>
        <v>Страхование транспортных средств</v>
      </c>
      <c r="B40" s="183">
        <f>'Кассовый денежный поток'!N71</f>
        <v>0</v>
      </c>
      <c r="C40" s="183">
        <f>'Кассовый денежный поток'!O71</f>
        <v>0</v>
      </c>
      <c r="D40" s="183">
        <f>'Кассовый денежный поток'!P71</f>
        <v>0</v>
      </c>
      <c r="E40" s="183">
        <f>'Кассовый денежный поток'!Q71</f>
        <v>0</v>
      </c>
    </row>
    <row r="41" spans="1:5" x14ac:dyDescent="0.2">
      <c r="A41" s="149" t="s">
        <v>229</v>
      </c>
      <c r="B41" s="187"/>
      <c r="C41" s="187"/>
      <c r="D41" s="187"/>
      <c r="E41" s="187"/>
    </row>
    <row r="42" spans="1:5" x14ac:dyDescent="0.2">
      <c r="A42" s="138" t="str">
        <f>'[1]Кассовый денежный поток'!A73</f>
        <v>GSM</v>
      </c>
      <c r="B42" s="183">
        <f>'Кассовый денежный поток'!N73</f>
        <v>0</v>
      </c>
      <c r="C42" s="183">
        <f>'Кассовый денежный поток'!O73</f>
        <v>0</v>
      </c>
      <c r="D42" s="183">
        <f>'Кассовый денежный поток'!P73</f>
        <v>0</v>
      </c>
      <c r="E42" s="183">
        <f>'Кассовый денежный поток'!Q73</f>
        <v>0</v>
      </c>
    </row>
    <row r="43" spans="1:5" x14ac:dyDescent="0.2">
      <c r="A43" s="138" t="str">
        <f>'[1]Кассовый денежный поток'!A74</f>
        <v>Обычный телефон</v>
      </c>
      <c r="B43" s="189">
        <f>'Кассовый денежный поток'!N74</f>
        <v>0</v>
      </c>
      <c r="C43" s="189">
        <f>'Кассовый денежный поток'!O74</f>
        <v>0</v>
      </c>
      <c r="D43" s="189">
        <f>'Кассовый денежный поток'!P74</f>
        <v>0</v>
      </c>
      <c r="E43" s="189">
        <f>'Кассовый денежный поток'!Q74</f>
        <v>0</v>
      </c>
    </row>
    <row r="44" spans="1:5" ht="25.5" x14ac:dyDescent="0.2">
      <c r="A44" s="347" t="str">
        <f>'[1]Кассовый денежный поток'!A75</f>
        <v>Расходы, связанные с вычислительной техникой и программным обеспечением</v>
      </c>
      <c r="B44" s="183">
        <f>'Кассовый денежный поток'!N75</f>
        <v>0</v>
      </c>
      <c r="C44" s="183">
        <f>'Кассовый денежный поток'!O75</f>
        <v>0</v>
      </c>
      <c r="D44" s="183">
        <f>'Кассовый денежный поток'!P75</f>
        <v>0</v>
      </c>
      <c r="E44" s="183">
        <f>'Кассовый денежный поток'!Q75</f>
        <v>0</v>
      </c>
    </row>
    <row r="45" spans="1:5" x14ac:dyDescent="0.2">
      <c r="A45" s="145" t="s">
        <v>230</v>
      </c>
      <c r="B45" s="187"/>
      <c r="C45" s="187"/>
      <c r="D45" s="187"/>
      <c r="E45" s="187"/>
    </row>
    <row r="46" spans="1:5" x14ac:dyDescent="0.2">
      <c r="A46" s="150" t="str">
        <f>'[1]Кассовый денежный поток'!A77</f>
        <v>Канцелярские товары</v>
      </c>
      <c r="B46" s="183">
        <f>'Кассовый денежный поток'!N77</f>
        <v>0</v>
      </c>
      <c r="C46" s="183">
        <f>'Кассовый денежный поток'!O77</f>
        <v>0</v>
      </c>
      <c r="D46" s="183">
        <f>'Кассовый денежный поток'!P77</f>
        <v>0</v>
      </c>
      <c r="E46" s="183">
        <f>'Кассовый денежный поток'!Q77</f>
        <v>0</v>
      </c>
    </row>
    <row r="47" spans="1:5" x14ac:dyDescent="0.2">
      <c r="A47" s="150" t="str">
        <f>'[1]Кассовый денежный поток'!A78</f>
        <v>Банковские расходы</v>
      </c>
      <c r="B47" s="188">
        <f>'Кассовый денежный поток'!N78</f>
        <v>0</v>
      </c>
      <c r="C47" s="188">
        <f>'Кассовый денежный поток'!O78</f>
        <v>0</v>
      </c>
      <c r="D47" s="188">
        <f>'Кассовый денежный поток'!P78</f>
        <v>0</v>
      </c>
      <c r="E47" s="188">
        <f>'Кассовый денежный поток'!Q78</f>
        <v>0</v>
      </c>
    </row>
    <row r="48" spans="1:5" x14ac:dyDescent="0.2">
      <c r="A48" s="150" t="str">
        <f>'[1]Кассовый денежный поток'!A79</f>
        <v>Обслуживание и ремонт оборудования</v>
      </c>
      <c r="B48" s="186">
        <f>'Кассовый денежный поток'!N79</f>
        <v>0</v>
      </c>
      <c r="C48" s="186">
        <f>'Кассовый денежный поток'!O79</f>
        <v>0</v>
      </c>
      <c r="D48" s="186">
        <f>'Кассовый денежный поток'!P79</f>
        <v>0</v>
      </c>
      <c r="E48" s="186">
        <f>'Кассовый денежный поток'!Q79</f>
        <v>0</v>
      </c>
    </row>
    <row r="49" spans="1:5" x14ac:dyDescent="0.2">
      <c r="A49" s="150" t="str">
        <f>'[1]Кассовый денежный поток'!A80</f>
        <v>Прочие расходы</v>
      </c>
      <c r="B49" s="183">
        <f>'Кассовый денежный поток'!N80</f>
        <v>0</v>
      </c>
      <c r="C49" s="183">
        <f>'Кассовый денежный поток'!O80</f>
        <v>0</v>
      </c>
      <c r="D49" s="183">
        <f>'Кассовый денежный поток'!P80</f>
        <v>0</v>
      </c>
      <c r="E49" s="183">
        <f>'Кассовый денежный поток'!Q80</f>
        <v>0</v>
      </c>
    </row>
    <row r="50" spans="1:5" x14ac:dyDescent="0.2">
      <c r="A50" s="149" t="s">
        <v>231</v>
      </c>
      <c r="B50" s="187"/>
      <c r="C50" s="187"/>
      <c r="D50" s="187"/>
      <c r="E50" s="187"/>
    </row>
    <row r="51" spans="1:5" ht="25.5" x14ac:dyDescent="0.2">
      <c r="A51" s="347" t="str">
        <f>'[1]Кассовый денежный поток'!A82</f>
        <v>Брутто-зарплата (выплачивается в тот же месяц)</v>
      </c>
      <c r="B51" s="183">
        <f>'Кассовый денежный поток'!N82</f>
        <v>0</v>
      </c>
      <c r="C51" s="183">
        <f>'Кассовый денежный поток'!O82</f>
        <v>0</v>
      </c>
      <c r="D51" s="183">
        <f>'Кассовый денежный поток'!P82</f>
        <v>0</v>
      </c>
      <c r="E51" s="183">
        <f>'Кассовый денежный поток'!Q82</f>
        <v>0</v>
      </c>
    </row>
    <row r="52" spans="1:5" ht="25.5" x14ac:dyDescent="0.2">
      <c r="A52" s="347" t="str">
        <f>'[1]Кассовый денежный поток'!A83</f>
        <v>Социальный налог (уплачивается в следующем месяце)</v>
      </c>
      <c r="B52" s="188">
        <f>'Кассовый денежный поток'!N83</f>
        <v>0</v>
      </c>
      <c r="C52" s="188">
        <f>'Кассовый денежный поток'!O83</f>
        <v>0</v>
      </c>
      <c r="D52" s="188">
        <f>'Кассовый денежный поток'!P83</f>
        <v>0</v>
      </c>
      <c r="E52" s="188">
        <f>'Кассовый денежный поток'!Q83</f>
        <v>0</v>
      </c>
    </row>
    <row r="53" spans="1:5" ht="25.5" x14ac:dyDescent="0.2">
      <c r="A53" s="347" t="str">
        <f>'[1]Кассовый денежный поток'!A84</f>
        <v>Взнос по страхованию от безработицы (уплачивается в следующем месяце)</v>
      </c>
      <c r="B53" s="186">
        <f>'Кассовый денежный поток'!N84</f>
        <v>0</v>
      </c>
      <c r="C53" s="186">
        <f>'Кассовый денежный поток'!O84</f>
        <v>0</v>
      </c>
      <c r="D53" s="186">
        <f>'Кассовый денежный поток'!P84</f>
        <v>0</v>
      </c>
      <c r="E53" s="186">
        <f>'Кассовый денежный поток'!Q84</f>
        <v>0</v>
      </c>
    </row>
    <row r="54" spans="1:5" x14ac:dyDescent="0.2">
      <c r="A54" s="151" t="s">
        <v>232</v>
      </c>
      <c r="B54" s="190">
        <f>SUM(B51:B53)</f>
        <v>0</v>
      </c>
      <c r="C54" s="190">
        <f>SUM(C51:C53)</f>
        <v>0</v>
      </c>
      <c r="D54" s="190">
        <f>SUM(D51:D53)</f>
        <v>0</v>
      </c>
      <c r="E54" s="190">
        <f>SUM(E51:E53)</f>
        <v>0</v>
      </c>
    </row>
    <row r="55" spans="1:5" x14ac:dyDescent="0.2">
      <c r="A55" s="138" t="str">
        <f>'[1]Кассовый денежный поток'!A85</f>
        <v>Расходы на обучение</v>
      </c>
      <c r="B55" s="183">
        <f>'Кассовый денежный поток'!N85</f>
        <v>0</v>
      </c>
      <c r="C55" s="183">
        <f>'Кассовый денежный поток'!O85</f>
        <v>0</v>
      </c>
      <c r="D55" s="183">
        <f>'Кассовый денежный поток'!P85</f>
        <v>0</v>
      </c>
      <c r="E55" s="183">
        <f>'Кассовый денежный поток'!Q85</f>
        <v>0</v>
      </c>
    </row>
    <row r="56" spans="1:5" x14ac:dyDescent="0.2">
      <c r="A56" s="145" t="s">
        <v>233</v>
      </c>
      <c r="B56" s="187"/>
      <c r="C56" s="187"/>
      <c r="D56" s="187"/>
      <c r="E56" s="187"/>
    </row>
    <row r="57" spans="1:5" x14ac:dyDescent="0.2">
      <c r="A57" s="138" t="str">
        <f>'[1]Кассовый денежный поток'!A87</f>
        <v>Прочие налоги (госпошлины и т.п.)</v>
      </c>
      <c r="B57" s="183">
        <f>'Кассовый денежный поток'!N87</f>
        <v>0</v>
      </c>
      <c r="C57" s="183">
        <f>'Кассовый денежный поток'!O87</f>
        <v>0</v>
      </c>
      <c r="D57" s="183">
        <f>'Кассовый денежный поток'!P87</f>
        <v>0</v>
      </c>
      <c r="E57" s="183">
        <f>'Кассовый денежный поток'!Q87</f>
        <v>0</v>
      </c>
    </row>
    <row r="58" spans="1:5" x14ac:dyDescent="0.2">
      <c r="A58" s="148" t="s">
        <v>234</v>
      </c>
      <c r="B58" s="187"/>
      <c r="C58" s="187"/>
      <c r="D58" s="187"/>
      <c r="E58" s="187"/>
    </row>
    <row r="59" spans="1:5" x14ac:dyDescent="0.2">
      <c r="A59" s="138" t="s">
        <v>235</v>
      </c>
      <c r="B59" s="183">
        <f>'Кассовый денежный поток'!N108</f>
        <v>0</v>
      </c>
      <c r="C59" s="183">
        <f>'Кассовый денежный поток'!O108</f>
        <v>0</v>
      </c>
      <c r="D59" s="183">
        <f>'Кассовый денежный поток'!P108</f>
        <v>0</v>
      </c>
      <c r="E59" s="183">
        <f>'Кассовый денежный поток'!Q108</f>
        <v>0</v>
      </c>
    </row>
    <row r="60" spans="1:5" ht="25.5" x14ac:dyDescent="0.2">
      <c r="A60" s="348" t="s">
        <v>236</v>
      </c>
      <c r="B60" s="183">
        <f>'Кассовый денежный поток'!N109</f>
        <v>0</v>
      </c>
      <c r="C60" s="183">
        <f>'Кассовый денежный поток'!O109</f>
        <v>0</v>
      </c>
      <c r="D60" s="183">
        <f>'Кассовый денежный поток'!P109</f>
        <v>0</v>
      </c>
      <c r="E60" s="183">
        <f>'Кассовый денежный поток'!Q109</f>
        <v>0</v>
      </c>
    </row>
    <row r="61" spans="1:5" ht="25.5" x14ac:dyDescent="0.2">
      <c r="A61" s="348" t="s">
        <v>237</v>
      </c>
      <c r="B61" s="183">
        <f>'Кассовый денежный поток'!N114</f>
        <v>0</v>
      </c>
      <c r="C61" s="183">
        <f>'Кассовый денежный поток'!O114</f>
        <v>0</v>
      </c>
      <c r="D61" s="183">
        <f>'Кассовый денежный поток'!P114</f>
        <v>0</v>
      </c>
      <c r="E61" s="183">
        <f>'Кассовый денежный поток'!Q114</f>
        <v>0</v>
      </c>
    </row>
    <row r="62" spans="1:5" x14ac:dyDescent="0.2">
      <c r="A62" s="147"/>
      <c r="B62" s="187">
        <f>SUM(B59:B61)</f>
        <v>0</v>
      </c>
      <c r="C62" s="187">
        <f>SUM(C59:C61)</f>
        <v>0</v>
      </c>
      <c r="D62" s="187">
        <f>SUM(D59:D61)</f>
        <v>0</v>
      </c>
      <c r="E62" s="187">
        <f>SUM(E59:E61)</f>
        <v>0</v>
      </c>
    </row>
    <row r="63" spans="1:5" x14ac:dyDescent="0.2">
      <c r="A63" s="152" t="s">
        <v>238</v>
      </c>
      <c r="B63" s="185">
        <f>SUM(B19:B61)-B21-B26-B54</f>
        <v>0</v>
      </c>
      <c r="C63" s="185">
        <f>SUM(C19:C61)-C21-C26-C54</f>
        <v>0</v>
      </c>
      <c r="D63" s="185">
        <f>SUM(D19:D61)-D21-D26-D54</f>
        <v>0</v>
      </c>
      <c r="E63" s="185">
        <f>SUM(E19:E61)-E21-E26-E54</f>
        <v>0</v>
      </c>
    </row>
    <row r="64" spans="1:5" ht="25.5" x14ac:dyDescent="0.2">
      <c r="A64" s="349" t="s">
        <v>239</v>
      </c>
      <c r="B64" s="191">
        <f>SUM(B29:B49)+SUM(B55:B57)</f>
        <v>0</v>
      </c>
      <c r="C64" s="191">
        <f>SUM(C29:C49)+SUM(C55:C57)</f>
        <v>0</v>
      </c>
      <c r="D64" s="191">
        <f>SUM(D29:D49)+SUM(D55:D57)</f>
        <v>0</v>
      </c>
      <c r="E64" s="191">
        <f>SUM(E29:E49)+SUM(E55:E57)</f>
        <v>0</v>
      </c>
    </row>
    <row r="65" spans="1:5" x14ac:dyDescent="0.2">
      <c r="A65" s="153" t="s">
        <v>240</v>
      </c>
      <c r="B65" s="192"/>
      <c r="C65" s="192"/>
      <c r="D65" s="192"/>
      <c r="E65" s="192"/>
    </row>
    <row r="66" spans="1:5" x14ac:dyDescent="0.2">
      <c r="A66" s="350" t="s">
        <v>241</v>
      </c>
      <c r="B66" s="185">
        <f>'Кассовый денежный поток'!N92</f>
        <v>0</v>
      </c>
      <c r="C66" s="185">
        <f>'Кассовый денежный поток'!O92</f>
        <v>0</v>
      </c>
      <c r="D66" s="185">
        <f>'Кассовый денежный поток'!P92</f>
        <v>0</v>
      </c>
      <c r="E66" s="185">
        <f>'Кассовый денежный поток'!Q92</f>
        <v>0</v>
      </c>
    </row>
    <row r="67" spans="1:5" x14ac:dyDescent="0.2">
      <c r="A67" s="153"/>
      <c r="B67" s="192"/>
      <c r="C67" s="192"/>
      <c r="D67" s="192"/>
      <c r="E67" s="192"/>
    </row>
    <row r="68" spans="1:5" x14ac:dyDescent="0.2">
      <c r="A68" s="152" t="s">
        <v>242</v>
      </c>
      <c r="B68" s="185">
        <f>B13-B63-B66</f>
        <v>0</v>
      </c>
      <c r="C68" s="185">
        <f>C13-C63-C66</f>
        <v>0</v>
      </c>
      <c r="D68" s="185">
        <f>D13-D63-D66+D12</f>
        <v>0</v>
      </c>
      <c r="E68" s="185">
        <f>E13-E63-E66+E12</f>
        <v>0</v>
      </c>
    </row>
    <row r="69" spans="1:5" x14ac:dyDescent="0.2">
      <c r="A69" s="351" t="s">
        <v>243</v>
      </c>
      <c r="B69" s="166" t="e">
        <f>ROUND(Работники!B15,2)</f>
        <v>#DIV/0!</v>
      </c>
      <c r="C69" s="166" t="e">
        <f>ROUND(Работники!C15,2)</f>
        <v>#DIV/0!</v>
      </c>
      <c r="D69" s="166" t="e">
        <f>ROUND(Работники!D15,2)</f>
        <v>#DIV/0!</v>
      </c>
      <c r="E69" s="166" t="e">
        <f>ROUND(Работники!E15,2)</f>
        <v>#DIV/0!</v>
      </c>
    </row>
    <row r="70" spans="1:5" x14ac:dyDescent="0.2">
      <c r="A70" s="132" t="s">
        <v>244</v>
      </c>
      <c r="B70" s="167" t="e">
        <f>IF(B69&gt;0,(B68+B61+B60+B59+B54)/B69,"")</f>
        <v>#DIV/0!</v>
      </c>
      <c r="C70" s="167" t="e">
        <f>IF(C69&gt;0,(C68+C61+C60+C59+C54)/C69,"")</f>
        <v>#DIV/0!</v>
      </c>
      <c r="D70" s="167" t="e">
        <f>IF(D69&gt;0,(D68+D61+D60+D59+D54)/D69,"")</f>
        <v>#DIV/0!</v>
      </c>
      <c r="E70" s="167" t="e">
        <f>IF(E69&gt;0,(E68+E61+E60+E59+E54)/E69,"")</f>
        <v>#DIV/0!</v>
      </c>
    </row>
    <row r="71" spans="1:5" x14ac:dyDescent="0.2">
      <c r="A71" s="132" t="s">
        <v>245</v>
      </c>
      <c r="B71" s="179" t="str">
        <f>IF(B13&gt;0,B68/B13,"")</f>
        <v/>
      </c>
      <c r="C71" s="179" t="str">
        <f>IF(C13&gt;0,C68/C13,"")</f>
        <v/>
      </c>
      <c r="D71" s="179" t="str">
        <f>IF(D13&gt;0,D68/D13,"")</f>
        <v/>
      </c>
      <c r="E71" s="179" t="str">
        <f>IF(E13&gt;0,E68/E13,"")</f>
        <v/>
      </c>
    </row>
  </sheetData>
  <sheetProtection algorithmName="SHA-512" hashValue="HmFisLBzZ8x3Le7WqsEs4dGX30YYPIxYryhmAPefHZKQ7xundk/vzWUNc/ckefeYmiESbjDpiApi6GYsmCn3Mg==" saltValue="RQudiuTOp3wFhn2k0Lm0lg==" spinCount="100000" sheet="1" objects="1" scenarios="1"/>
  <phoneticPr fontId="2" type="noConversion"/>
  <conditionalFormatting sqref="B68:E69">
    <cfRule type="cellIs" dxfId="0" priority="1" stopIfTrue="1" operator="lessThan">
      <formula>0</formula>
    </cfRule>
  </conditionalFormatting>
  <pageMargins left="0.59055118110236227" right="0.74803149606299213" top="0.39370078740157483" bottom="0.19685039370078741" header="0" footer="0"/>
  <pageSetup paperSize="9" scale="9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eht5">
    <pageSetUpPr fitToPage="1"/>
  </sheetPr>
  <dimension ref="A1:F52"/>
  <sheetViews>
    <sheetView topLeftCell="A16" workbookViewId="0">
      <selection activeCell="N36" sqref="N36"/>
    </sheetView>
  </sheetViews>
  <sheetFormatPr defaultColWidth="9.140625" defaultRowHeight="12.75" x14ac:dyDescent="0.2"/>
  <cols>
    <col min="1" max="1" width="42.28515625" style="359" customWidth="1"/>
    <col min="2" max="2" width="11.28515625" style="160" customWidth="1"/>
    <col min="3" max="6" width="10.85546875" style="156" customWidth="1"/>
    <col min="7" max="16384" width="9.140625" style="156"/>
  </cols>
  <sheetData>
    <row r="1" spans="1:6" ht="38.25" x14ac:dyDescent="0.2">
      <c r="A1" s="155" t="s">
        <v>247</v>
      </c>
      <c r="B1" s="207" t="s">
        <v>282</v>
      </c>
      <c r="C1" s="360" t="s">
        <v>283</v>
      </c>
      <c r="D1" s="360" t="s">
        <v>284</v>
      </c>
      <c r="E1" s="360" t="s">
        <v>285</v>
      </c>
      <c r="F1" s="360" t="s">
        <v>286</v>
      </c>
    </row>
    <row r="2" spans="1:6" x14ac:dyDescent="0.2">
      <c r="A2" s="155"/>
      <c r="B2" s="208">
        <v>44561</v>
      </c>
      <c r="C2" s="340">
        <f>'Кассовый денежный поток'!N2</f>
        <v>2022</v>
      </c>
      <c r="D2" s="340">
        <f>'Кассовый денежный поток'!O2</f>
        <v>2023</v>
      </c>
      <c r="E2" s="340">
        <f>'Кассовый денежный поток'!P2</f>
        <v>2024</v>
      </c>
      <c r="F2" s="340">
        <f>'Кассовый денежный поток'!Q2</f>
        <v>2025</v>
      </c>
    </row>
    <row r="3" spans="1:6" x14ac:dyDescent="0.2">
      <c r="A3" s="352"/>
      <c r="B3" s="157"/>
      <c r="C3" s="158"/>
      <c r="D3" s="158"/>
      <c r="E3" s="158"/>
      <c r="F3" s="158"/>
    </row>
    <row r="4" spans="1:6" x14ac:dyDescent="0.2">
      <c r="A4" s="155" t="s">
        <v>248</v>
      </c>
      <c r="B4" s="159"/>
      <c r="C4" s="158"/>
      <c r="D4" s="158"/>
      <c r="E4" s="158"/>
      <c r="F4" s="158"/>
    </row>
    <row r="5" spans="1:6" x14ac:dyDescent="0.2">
      <c r="A5" s="155"/>
      <c r="B5" s="159"/>
      <c r="C5" s="158"/>
      <c r="D5" s="158"/>
      <c r="E5" s="158"/>
      <c r="F5" s="158"/>
    </row>
    <row r="6" spans="1:6" x14ac:dyDescent="0.2">
      <c r="A6" s="353" t="s">
        <v>249</v>
      </c>
      <c r="B6" s="193"/>
      <c r="C6" s="194">
        <f>'Кассовый денежный поток'!N97</f>
        <v>0</v>
      </c>
      <c r="D6" s="194">
        <f>'Кассовый денежный поток'!O97</f>
        <v>0</v>
      </c>
      <c r="E6" s="194">
        <f>'Кассовый денежный поток'!P97</f>
        <v>0</v>
      </c>
      <c r="F6" s="194">
        <f>'Кассовый денежный поток'!Q97</f>
        <v>0</v>
      </c>
    </row>
    <row r="7" spans="1:6" x14ac:dyDescent="0.2">
      <c r="A7" s="353" t="s">
        <v>250</v>
      </c>
      <c r="B7" s="193"/>
      <c r="C7" s="194">
        <f>'Отчет о прибыли'!B5-'Кассовый денежный поток'!N14</f>
        <v>0</v>
      </c>
      <c r="D7" s="194">
        <f>C7+'Отчет о прибыли'!C5-'Кассовый денежный поток'!O14</f>
        <v>0</v>
      </c>
      <c r="E7" s="194">
        <f>D7+'Отчет о прибыли'!D5-'Кассовый денежный поток'!P14</f>
        <v>0</v>
      </c>
      <c r="F7" s="194">
        <f>E7+'Отчет о прибыли'!E5-'Кассовый денежный поток'!Q14</f>
        <v>0</v>
      </c>
    </row>
    <row r="8" spans="1:6" x14ac:dyDescent="0.2">
      <c r="A8" s="353" t="s">
        <v>251</v>
      </c>
      <c r="B8" s="193"/>
      <c r="C8" s="195"/>
      <c r="D8" s="195"/>
      <c r="E8" s="195"/>
      <c r="F8" s="195"/>
    </row>
    <row r="9" spans="1:6" x14ac:dyDescent="0.2">
      <c r="A9" s="353" t="s">
        <v>252</v>
      </c>
      <c r="B9" s="193"/>
      <c r="C9" s="195"/>
      <c r="D9" s="195"/>
      <c r="E9" s="195"/>
      <c r="F9" s="195"/>
    </row>
    <row r="10" spans="1:6" x14ac:dyDescent="0.2">
      <c r="A10" s="353" t="s">
        <v>253</v>
      </c>
      <c r="B10" s="193"/>
      <c r="C10" s="194">
        <f>'Кассовый денежный поток'!N48-'Отчет о прибыли'!B19</f>
        <v>0</v>
      </c>
      <c r="D10" s="194">
        <f>C10+'Кассовый денежный поток'!O48-Продукция!S5</f>
        <v>0</v>
      </c>
      <c r="E10" s="194">
        <f>D10+'Кассовый денежный поток'!P48-Продукция!T5</f>
        <v>0</v>
      </c>
      <c r="F10" s="194">
        <f>E10+'Кассовый денежный поток'!Q48-Продукция!U5</f>
        <v>0</v>
      </c>
    </row>
    <row r="11" spans="1:6" x14ac:dyDescent="0.2">
      <c r="A11" s="353" t="s">
        <v>254</v>
      </c>
      <c r="B11" s="193"/>
      <c r="C11" s="195"/>
      <c r="D11" s="195"/>
      <c r="E11" s="195"/>
      <c r="F11" s="195"/>
    </row>
    <row r="12" spans="1:6" x14ac:dyDescent="0.2">
      <c r="A12" s="168" t="s">
        <v>255</v>
      </c>
      <c r="B12" s="196">
        <f>SUM(B6:B11)</f>
        <v>0</v>
      </c>
      <c r="C12" s="197">
        <f>SUM(C6:C11)</f>
        <v>0</v>
      </c>
      <c r="D12" s="197">
        <f>SUM(D6:D11)</f>
        <v>0</v>
      </c>
      <c r="E12" s="197">
        <f>SUM(E6:E11)</f>
        <v>0</v>
      </c>
      <c r="F12" s="197">
        <f>SUM(F6:F11)</f>
        <v>0</v>
      </c>
    </row>
    <row r="13" spans="1:6" x14ac:dyDescent="0.2">
      <c r="A13" s="169"/>
      <c r="B13" s="170"/>
      <c r="C13" s="171"/>
      <c r="D13" s="171"/>
      <c r="E13" s="171"/>
      <c r="F13" s="171"/>
    </row>
    <row r="14" spans="1:6" x14ac:dyDescent="0.2">
      <c r="A14" s="387" t="s">
        <v>330</v>
      </c>
      <c r="B14" s="387"/>
      <c r="C14" s="387"/>
      <c r="D14" s="387"/>
      <c r="E14" s="387"/>
      <c r="F14" s="387"/>
    </row>
    <row r="15" spans="1:6" x14ac:dyDescent="0.2">
      <c r="A15" s="353" t="s">
        <v>256</v>
      </c>
      <c r="B15" s="193"/>
      <c r="C15" s="194">
        <f>B15+'Кассовый денежный поток'!N104</f>
        <v>0</v>
      </c>
      <c r="D15" s="194">
        <f>B15+'Кассовый денежный поток'!O104</f>
        <v>0</v>
      </c>
      <c r="E15" s="194">
        <f>B15+'Кассовый денежный поток'!P104</f>
        <v>0</v>
      </c>
      <c r="F15" s="194">
        <f>B15+'Кассовый денежный поток'!Q104</f>
        <v>0</v>
      </c>
    </row>
    <row r="16" spans="1:6" ht="25.5" x14ac:dyDescent="0.2">
      <c r="A16" s="354" t="s">
        <v>257</v>
      </c>
      <c r="B16" s="193"/>
      <c r="C16" s="194">
        <f>B16+'Кассовый денежный поток'!N106</f>
        <v>0</v>
      </c>
      <c r="D16" s="194">
        <f>B16+'Кассовый денежный поток'!O106</f>
        <v>0</v>
      </c>
      <c r="E16" s="194">
        <f>B16+'Кассовый денежный поток'!P106</f>
        <v>0</v>
      </c>
      <c r="F16" s="194">
        <f>B16+'Кассовый денежный поток'!Q106</f>
        <v>0</v>
      </c>
    </row>
    <row r="17" spans="1:6" x14ac:dyDescent="0.2">
      <c r="A17" s="353" t="s">
        <v>258</v>
      </c>
      <c r="B17" s="193"/>
      <c r="C17" s="194">
        <f>B17-'Кассовый денежный поток'!N108-'Кассовый денежный поток'!N109</f>
        <v>0</v>
      </c>
      <c r="D17" s="194">
        <f>C17-'Кассовый денежный поток'!O108-'Кассовый денежный поток'!O109</f>
        <v>0</v>
      </c>
      <c r="E17" s="194">
        <f>D17-'Кассовый денежный поток'!P108-'Кассовый денежный поток'!P109</f>
        <v>0</v>
      </c>
      <c r="F17" s="194">
        <f>E17-'Кассовый денежный поток'!Q108-'Кассовый денежный поток'!Q109</f>
        <v>0</v>
      </c>
    </row>
    <row r="18" spans="1:6" x14ac:dyDescent="0.2">
      <c r="A18" s="384" t="s">
        <v>328</v>
      </c>
      <c r="B18" s="385"/>
      <c r="C18" s="385"/>
      <c r="D18" s="385"/>
      <c r="E18" s="385"/>
      <c r="F18" s="386"/>
    </row>
    <row r="19" spans="1:6" x14ac:dyDescent="0.2">
      <c r="A19" s="353" t="s">
        <v>259</v>
      </c>
      <c r="B19" s="193"/>
      <c r="C19" s="194">
        <f>B19+'Кассовый денежный поток'!N112</f>
        <v>0</v>
      </c>
      <c r="D19" s="194">
        <f>B19+'Кассовый денежный поток'!O112</f>
        <v>0</v>
      </c>
      <c r="E19" s="194">
        <f>B19+'Кассовый денежный поток'!P112</f>
        <v>0</v>
      </c>
      <c r="F19" s="194">
        <f>B19+'Кассовый денежный поток'!Q112</f>
        <v>0</v>
      </c>
    </row>
    <row r="20" spans="1:6" x14ac:dyDescent="0.2">
      <c r="A20" s="353" t="s">
        <v>260</v>
      </c>
      <c r="B20" s="193"/>
      <c r="C20" s="194">
        <f>B20-'Кассовый денежный поток'!N114</f>
        <v>0</v>
      </c>
      <c r="D20" s="194">
        <f>C20-'Кассовый денежный поток'!O114</f>
        <v>0</v>
      </c>
      <c r="E20" s="194">
        <f>D20-'Кассовый денежный поток'!P114</f>
        <v>0</v>
      </c>
      <c r="F20" s="194">
        <f>E20-'Кассовый денежный поток'!Q114</f>
        <v>0</v>
      </c>
    </row>
    <row r="21" spans="1:6" x14ac:dyDescent="0.2">
      <c r="A21" s="388" t="s">
        <v>329</v>
      </c>
      <c r="B21" s="389"/>
      <c r="C21" s="389"/>
      <c r="D21" s="389"/>
      <c r="E21" s="389"/>
      <c r="F21" s="390"/>
    </row>
    <row r="22" spans="1:6" ht="38.25" x14ac:dyDescent="0.2">
      <c r="A22" s="355" t="s">
        <v>329</v>
      </c>
      <c r="B22" s="198"/>
      <c r="C22" s="199">
        <f>$B$22+'Кассовый денежный поток'!N105+'Кассовый денежный поток'!N107</f>
        <v>0</v>
      </c>
      <c r="D22" s="199">
        <f>$B$22+'Кассовый денежный поток'!O105+'Кассовый денежный поток'!O107</f>
        <v>0</v>
      </c>
      <c r="E22" s="199">
        <f>$B$22+'Кассовый денежный поток'!P105+'Кассовый денежный поток'!P107</f>
        <v>0</v>
      </c>
      <c r="F22" s="199">
        <f>$B$22+'Кассовый денежный поток'!Q105+'Кассовый денежный поток'!Q107</f>
        <v>0</v>
      </c>
    </row>
    <row r="23" spans="1:6" ht="38.25" x14ac:dyDescent="0.2">
      <c r="A23" s="355" t="s">
        <v>261</v>
      </c>
      <c r="B23" s="198"/>
      <c r="C23" s="199">
        <f>$B$23+'Кассовый денежный поток'!N113</f>
        <v>0</v>
      </c>
      <c r="D23" s="199">
        <f>$B$23+'Кассовый денежный поток'!O113</f>
        <v>0</v>
      </c>
      <c r="E23" s="199">
        <f>$B$23+'Кассовый денежный поток'!P113</f>
        <v>0</v>
      </c>
      <c r="F23" s="199">
        <f>$B$23+'Кассовый денежный поток'!Q113</f>
        <v>0</v>
      </c>
    </row>
    <row r="24" spans="1:6" x14ac:dyDescent="0.2">
      <c r="A24" s="353" t="s">
        <v>258</v>
      </c>
      <c r="B24" s="200"/>
      <c r="C24" s="199">
        <f>-'Кассовый денежный поток'!N110-'Кассовый денежный поток'!N111-'Кассовый денежный поток'!N115+B24</f>
        <v>0</v>
      </c>
      <c r="D24" s="199">
        <f>-'Кассовый денежный поток'!O110-'Кассовый денежный поток'!O111-'Кассовый денежный поток'!O115+C24</f>
        <v>0</v>
      </c>
      <c r="E24" s="199">
        <f>-'Кассовый денежный поток'!P110-'Кассовый денежный поток'!P111-'Кассовый денежный поток'!P115+D24</f>
        <v>0</v>
      </c>
      <c r="F24" s="199">
        <f>-'Кассовый денежный поток'!Q110-'Кассовый денежный поток'!Q111-'Кассовый денежный поток'!Q115+E24</f>
        <v>0</v>
      </c>
    </row>
    <row r="25" spans="1:6" x14ac:dyDescent="0.2">
      <c r="A25" s="168" t="s">
        <v>262</v>
      </c>
      <c r="B25" s="196">
        <f>SUM(B15:B24)</f>
        <v>0</v>
      </c>
      <c r="C25" s="197">
        <f>SUM(C15:C24)</f>
        <v>0</v>
      </c>
      <c r="D25" s="197">
        <f>SUM(D15:D24)</f>
        <v>0</v>
      </c>
      <c r="E25" s="197">
        <f>SUM(E15:E24)</f>
        <v>0</v>
      </c>
      <c r="F25" s="197">
        <f>SUM(F15:F24)</f>
        <v>0</v>
      </c>
    </row>
    <row r="26" spans="1:6" x14ac:dyDescent="0.2">
      <c r="A26" s="356"/>
      <c r="B26" s="201"/>
      <c r="C26" s="202"/>
      <c r="D26" s="202"/>
      <c r="E26" s="202"/>
      <c r="F26" s="202"/>
    </row>
    <row r="27" spans="1:6" x14ac:dyDescent="0.2">
      <c r="A27" s="169" t="s">
        <v>263</v>
      </c>
      <c r="B27" s="203">
        <f>B12+B25</f>
        <v>0</v>
      </c>
      <c r="C27" s="204">
        <f>C12+C25</f>
        <v>0</v>
      </c>
      <c r="D27" s="204">
        <f>D12+D25</f>
        <v>0</v>
      </c>
      <c r="E27" s="204">
        <f>E12+E25</f>
        <v>0</v>
      </c>
      <c r="F27" s="204">
        <f>F12+F25</f>
        <v>0</v>
      </c>
    </row>
    <row r="28" spans="1:6" x14ac:dyDescent="0.2">
      <c r="A28" s="169"/>
      <c r="B28" s="170"/>
      <c r="C28" s="172"/>
      <c r="D28" s="172"/>
      <c r="E28" s="172"/>
      <c r="F28" s="172"/>
    </row>
    <row r="29" spans="1:6" x14ac:dyDescent="0.2">
      <c r="A29" s="169"/>
      <c r="B29" s="170"/>
      <c r="C29" s="172"/>
      <c r="D29" s="172"/>
      <c r="E29" s="172"/>
      <c r="F29" s="172"/>
    </row>
    <row r="30" spans="1:6" x14ac:dyDescent="0.2">
      <c r="A30" s="357"/>
      <c r="B30" s="173"/>
      <c r="C30" s="171"/>
      <c r="D30" s="171"/>
      <c r="E30" s="171"/>
      <c r="F30" s="171"/>
    </row>
    <row r="31" spans="1:6" x14ac:dyDescent="0.2">
      <c r="A31" s="169" t="s">
        <v>264</v>
      </c>
      <c r="B31" s="170"/>
      <c r="C31" s="171"/>
      <c r="D31" s="171"/>
      <c r="E31" s="171"/>
      <c r="F31" s="171"/>
    </row>
    <row r="32" spans="1:6" x14ac:dyDescent="0.2">
      <c r="A32" s="174"/>
      <c r="B32" s="175"/>
      <c r="C32" s="171"/>
      <c r="D32" s="171"/>
      <c r="E32" s="171"/>
      <c r="F32" s="171"/>
    </row>
    <row r="33" spans="1:6" ht="25.5" x14ac:dyDescent="0.2">
      <c r="A33" s="354" t="s">
        <v>265</v>
      </c>
      <c r="B33" s="193">
        <v>0</v>
      </c>
      <c r="C33" s="194">
        <f>IF('Кассовый денежный поток'!N91="Viga, kliki siin!",B33,(B33+'Кассовый денежный поток'!N22-'Кассовый денежный поток'!N91))</f>
        <v>0</v>
      </c>
      <c r="D33" s="194">
        <f>C33+'Кассовый денежный поток'!O22-'Кассовый денежный поток'!O91</f>
        <v>0</v>
      </c>
      <c r="E33" s="194">
        <f>D33+'Кассовый денежный поток'!P22-'Кассовый денежный поток'!P91</f>
        <v>0</v>
      </c>
      <c r="F33" s="194">
        <f>E33+'Кассовый денежный поток'!Q22-'Кассовый денежный поток'!Q91</f>
        <v>0</v>
      </c>
    </row>
    <row r="34" spans="1:6" ht="25.5" x14ac:dyDescent="0.2">
      <c r="A34" s="354" t="s">
        <v>266</v>
      </c>
      <c r="B34" s="193"/>
      <c r="C34" s="194">
        <f>IF('Кассовый денежный поток'!N90&gt;0,'Кассовый денежный поток'!N90,0)</f>
        <v>0</v>
      </c>
      <c r="D34" s="194">
        <f>IF('Кассовый денежный поток'!O90&gt;0,'Кассовый денежный поток'!O90,0)</f>
        <v>0</v>
      </c>
      <c r="E34" s="194">
        <f>IF('Кассовый денежный поток'!P90&gt;0,'Кассовый денежный поток'!P90,0)</f>
        <v>0</v>
      </c>
      <c r="F34" s="194">
        <f>IF('Кассовый денежный поток'!Q90&gt;0,'Кассовый денежный поток'!Q90,0)</f>
        <v>0</v>
      </c>
    </row>
    <row r="35" spans="1:6" ht="25.5" x14ac:dyDescent="0.2">
      <c r="A35" s="354" t="s">
        <v>267</v>
      </c>
      <c r="B35" s="193"/>
      <c r="C35" s="195"/>
      <c r="D35" s="195"/>
      <c r="E35" s="195"/>
      <c r="F35" s="195"/>
    </row>
    <row r="36" spans="1:6" x14ac:dyDescent="0.2">
      <c r="A36" s="353" t="s">
        <v>268</v>
      </c>
      <c r="B36" s="193"/>
      <c r="C36" s="195"/>
      <c r="D36" s="195"/>
      <c r="E36" s="195"/>
      <c r="F36" s="195"/>
    </row>
    <row r="37" spans="1:6" x14ac:dyDescent="0.2">
      <c r="A37" s="353" t="s">
        <v>269</v>
      </c>
      <c r="B37" s="193"/>
      <c r="C37" s="195"/>
      <c r="D37" s="195"/>
      <c r="E37" s="195"/>
      <c r="F37" s="195"/>
    </row>
    <row r="38" spans="1:6" x14ac:dyDescent="0.2">
      <c r="A38" s="353" t="s">
        <v>270</v>
      </c>
      <c r="B38" s="193"/>
      <c r="C38" s="194">
        <f>'Кассовый денежный поток'!N19-'Кассовый денежный поток'!N88-'Кассовый денежный поток'!N83-'Кассовый денежный поток'!N84+'Отчет о прибыли'!B52+'Отчет о прибыли'!B53-'Кассовый денежный поток'!N93</f>
        <v>0</v>
      </c>
      <c r="D38" s="194">
        <f>C38+'Кассовый денежный поток'!O19-'Кассовый денежный поток'!O88-'Кассовый денежный поток'!O83-'Кассовый денежный поток'!O84+'Отчет о прибыли'!C52+'Отчет о прибыли'!C53-'Кассовый денежный поток'!O93</f>
        <v>0</v>
      </c>
      <c r="E38" s="194">
        <f>D38+'Кассовый денежный поток'!P19-'Кассовый денежный поток'!P88-'Кассовый денежный поток'!P83-'Кассовый денежный поток'!P84+'Отчет о прибыли'!D52+'Отчет о прибыли'!D53-'Кассовый денежный поток'!P93</f>
        <v>0</v>
      </c>
      <c r="F38" s="194">
        <f>E38+'Кассовый денежный поток'!Q19-'Кассовый денежный поток'!Q88-'Кассовый денежный поток'!Q83-'Кассовый денежный поток'!Q84+'Отчет о прибыли'!E52+'Отчет о прибыли'!E53-'Кассовый денежный поток'!Q93</f>
        <v>0</v>
      </c>
    </row>
    <row r="39" spans="1:6" x14ac:dyDescent="0.2">
      <c r="A39" s="176" t="s">
        <v>271</v>
      </c>
      <c r="B39" s="196">
        <f>SUM(B33:B38)</f>
        <v>0</v>
      </c>
      <c r="C39" s="197">
        <f>SUM(C33:C38)</f>
        <v>0</v>
      </c>
      <c r="D39" s="197">
        <f>SUM(D33:D38)</f>
        <v>0</v>
      </c>
      <c r="E39" s="197">
        <f>SUM(E33:E38)</f>
        <v>0</v>
      </c>
      <c r="F39" s="197">
        <f>SUM(F33:F38)</f>
        <v>0</v>
      </c>
    </row>
    <row r="40" spans="1:6" x14ac:dyDescent="0.2">
      <c r="A40" s="174"/>
      <c r="B40" s="205"/>
      <c r="C40" s="202"/>
      <c r="D40" s="202"/>
      <c r="E40" s="202"/>
      <c r="F40" s="202"/>
    </row>
    <row r="41" spans="1:6" x14ac:dyDescent="0.2">
      <c r="A41" s="353" t="s">
        <v>272</v>
      </c>
      <c r="B41" s="193"/>
      <c r="C41" s="194">
        <f>B41+'Кассовый денежный поток'!N21-C34</f>
        <v>0</v>
      </c>
      <c r="D41" s="194">
        <f>C41+'Кассовый денежный поток'!O21-D34</f>
        <v>0</v>
      </c>
      <c r="E41" s="194">
        <f>D41+'Кассовый денежный поток'!P21-E34</f>
        <v>0</v>
      </c>
      <c r="F41" s="194">
        <f>E41+'Кассовый денежный поток'!Q21-F34</f>
        <v>0</v>
      </c>
    </row>
    <row r="42" spans="1:6" x14ac:dyDescent="0.2">
      <c r="A42" s="353" t="s">
        <v>273</v>
      </c>
      <c r="B42" s="193"/>
      <c r="C42" s="195"/>
      <c r="D42" s="195"/>
      <c r="E42" s="195"/>
      <c r="F42" s="195"/>
    </row>
    <row r="43" spans="1:6" ht="25.5" x14ac:dyDescent="0.2">
      <c r="A43" s="358" t="s">
        <v>274</v>
      </c>
      <c r="B43" s="200"/>
      <c r="C43" s="199">
        <f>C22+C23+C24</f>
        <v>0</v>
      </c>
      <c r="D43" s="199">
        <f>D22+D23+D24</f>
        <v>0</v>
      </c>
      <c r="E43" s="199">
        <f>E22+E23+E24</f>
        <v>0</v>
      </c>
      <c r="F43" s="199">
        <f>F22+F23+F24</f>
        <v>0</v>
      </c>
    </row>
    <row r="44" spans="1:6" x14ac:dyDescent="0.2">
      <c r="A44" s="168" t="s">
        <v>275</v>
      </c>
      <c r="B44" s="196">
        <f>SUM(B41:B43)</f>
        <v>0</v>
      </c>
      <c r="C44" s="197">
        <f>SUM(C41:C43)</f>
        <v>0</v>
      </c>
      <c r="D44" s="197">
        <f>SUM(D41:D43)</f>
        <v>0</v>
      </c>
      <c r="E44" s="197">
        <f>SUM(E41:E43)</f>
        <v>0</v>
      </c>
      <c r="F44" s="197">
        <f>SUM(F41:F43)</f>
        <v>0</v>
      </c>
    </row>
    <row r="45" spans="1:6" x14ac:dyDescent="0.2">
      <c r="A45" s="357"/>
      <c r="B45" s="206"/>
      <c r="C45" s="202"/>
      <c r="D45" s="202"/>
      <c r="E45" s="202"/>
      <c r="F45" s="202"/>
    </row>
    <row r="46" spans="1:6" x14ac:dyDescent="0.2">
      <c r="A46" s="353" t="s">
        <v>276</v>
      </c>
      <c r="B46" s="193"/>
      <c r="C46" s="194">
        <f>B46+'Кассовый денежный поток'!N20</f>
        <v>0</v>
      </c>
      <c r="D46" s="194">
        <f>C46+'Кассовый денежный поток'!O20</f>
        <v>0</v>
      </c>
      <c r="E46" s="194">
        <f>D46+'Кассовый денежный поток'!P20</f>
        <v>0</v>
      </c>
      <c r="F46" s="194">
        <f>E46+'Кассовый денежный поток'!Q20</f>
        <v>0</v>
      </c>
    </row>
    <row r="47" spans="1:6" x14ac:dyDescent="0.2">
      <c r="A47" s="353" t="s">
        <v>277</v>
      </c>
      <c r="B47" s="211"/>
      <c r="C47" s="194">
        <f>IF(B49&gt;B46*0.1,B46*0.1,IF(B49&lt;0,0,B49*0.1))</f>
        <v>0</v>
      </c>
      <c r="D47" s="194">
        <f>IF(C49&gt;C46*0.1,C46*0.1,IF(C49&lt;0,0,C49*0.1))</f>
        <v>0</v>
      </c>
      <c r="E47" s="194">
        <f>IF(D49&gt;D46*0.1,D46*0.1,IF(D49&lt;0,0,D49*0.1))</f>
        <v>0</v>
      </c>
      <c r="F47" s="194">
        <f>IF(E49&gt;E46*0.1,E46*0.1,IF(E49&lt;0,0,E49*0.1))</f>
        <v>0</v>
      </c>
    </row>
    <row r="48" spans="1:6" ht="25.5" x14ac:dyDescent="0.2">
      <c r="A48" s="354" t="s">
        <v>278</v>
      </c>
      <c r="B48" s="193"/>
      <c r="C48" s="194">
        <f>(B49+B48-'Кассовый денежный поток'!N94)-C47</f>
        <v>0</v>
      </c>
      <c r="D48" s="194">
        <f>(C48+C49-'Кассовый денежный поток'!O94)-(D47-C47)</f>
        <v>0</v>
      </c>
      <c r="E48" s="194">
        <f>(D48+D49-E47+D47-'Кассовый денежный поток'!P94)</f>
        <v>0</v>
      </c>
      <c r="F48" s="194">
        <f>(E48+E49-F47+E47-'Кассовый денежный поток'!Q94)</f>
        <v>0</v>
      </c>
    </row>
    <row r="49" spans="1:6" x14ac:dyDescent="0.2">
      <c r="A49" s="353" t="s">
        <v>279</v>
      </c>
      <c r="B49" s="193"/>
      <c r="C49" s="194">
        <f>'Отчет о прибыли'!B68</f>
        <v>0</v>
      </c>
      <c r="D49" s="194">
        <f>'Отчет о прибыли'!C68</f>
        <v>0</v>
      </c>
      <c r="E49" s="194">
        <f>'Отчет о прибыли'!D68</f>
        <v>0</v>
      </c>
      <c r="F49" s="194">
        <f>'Отчет о прибыли'!E68</f>
        <v>0</v>
      </c>
    </row>
    <row r="50" spans="1:6" x14ac:dyDescent="0.2">
      <c r="A50" s="176" t="s">
        <v>280</v>
      </c>
      <c r="B50" s="194">
        <f>SUM(B46:B49)</f>
        <v>0</v>
      </c>
      <c r="C50" s="194">
        <f>SUM(C46:C49)</f>
        <v>0</v>
      </c>
      <c r="D50" s="194">
        <f>SUM(D46:D49)</f>
        <v>0</v>
      </c>
      <c r="E50" s="194">
        <f>SUM(E46:E49)</f>
        <v>0</v>
      </c>
      <c r="F50" s="194">
        <f>SUM(F46:F49)</f>
        <v>0</v>
      </c>
    </row>
    <row r="51" spans="1:6" x14ac:dyDescent="0.2">
      <c r="A51" s="177"/>
      <c r="B51" s="178"/>
      <c r="C51" s="171"/>
      <c r="D51" s="171"/>
      <c r="E51" s="171"/>
      <c r="F51" s="171"/>
    </row>
    <row r="52" spans="1:6" x14ac:dyDescent="0.2">
      <c r="A52" s="169" t="s">
        <v>281</v>
      </c>
      <c r="B52" s="203">
        <f>B39+B44+B50</f>
        <v>0</v>
      </c>
      <c r="C52" s="204">
        <f>C39+C44+C50</f>
        <v>0</v>
      </c>
      <c r="D52" s="204">
        <f>D39+D44+D50</f>
        <v>0</v>
      </c>
      <c r="E52" s="204">
        <f>E39+E44+E50</f>
        <v>0</v>
      </c>
      <c r="F52" s="204">
        <f>F39+F44+F50</f>
        <v>0</v>
      </c>
    </row>
  </sheetData>
  <sheetProtection algorithmName="SHA-512" hashValue="nomtcxuiB+vBHbKNtU6saGthegQeuTrHPPHjU9DrV/ZGn9phNvhZE6ex35/sUebhoMzdhqgYIimmoJCyT8wD8g==" saltValue="rkFFwvRgS6Ha2/zS0gbo0w==" spinCount="100000" sheet="1" objects="1" scenarios="1"/>
  <mergeCells count="3">
    <mergeCell ref="A18:F18"/>
    <mergeCell ref="A14:F14"/>
    <mergeCell ref="A21:F21"/>
  </mergeCells>
  <phoneticPr fontId="2" type="noConversion"/>
  <pageMargins left="0.59055118110236227" right="0.74803149606299213" top="0.98425196850393704" bottom="0.98425196850393704" header="0" footer="0"/>
  <pageSetup paperSize="9" scale="9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eht6"/>
  <dimension ref="A1:E15"/>
  <sheetViews>
    <sheetView workbookViewId="0">
      <selection activeCell="G20" sqref="G20"/>
    </sheetView>
  </sheetViews>
  <sheetFormatPr defaultRowHeight="12.75" x14ac:dyDescent="0.2"/>
  <cols>
    <col min="1" max="1" width="14.85546875" customWidth="1"/>
    <col min="2" max="5" width="10.42578125" customWidth="1"/>
  </cols>
  <sheetData>
    <row r="1" spans="1:5" x14ac:dyDescent="0.2">
      <c r="B1" s="391" t="s">
        <v>287</v>
      </c>
      <c r="C1" s="391"/>
      <c r="D1" s="391"/>
      <c r="E1" s="391"/>
    </row>
    <row r="2" spans="1:5" x14ac:dyDescent="0.2">
      <c r="B2">
        <f>'Кассовый денежный поток'!N2</f>
        <v>2022</v>
      </c>
      <c r="C2">
        <f>'Кассовый денежный поток'!O2</f>
        <v>2023</v>
      </c>
      <c r="D2">
        <f>'Кассовый денежный поток'!P2</f>
        <v>2024</v>
      </c>
      <c r="E2">
        <f>'Кассовый денежный поток'!Q2</f>
        <v>2025</v>
      </c>
    </row>
    <row r="3" spans="1:5" x14ac:dyDescent="0.2">
      <c r="A3" s="366" t="s">
        <v>331</v>
      </c>
      <c r="B3" s="53"/>
      <c r="C3" s="53"/>
      <c r="D3" s="53"/>
      <c r="E3" s="53"/>
    </row>
    <row r="4" spans="1:5" x14ac:dyDescent="0.2">
      <c r="A4" s="366" t="s">
        <v>332</v>
      </c>
      <c r="B4" s="53"/>
      <c r="C4" s="53"/>
      <c r="D4" s="53"/>
      <c r="E4" s="53"/>
    </row>
    <row r="5" spans="1:5" x14ac:dyDescent="0.2">
      <c r="A5" s="366" t="s">
        <v>333</v>
      </c>
      <c r="B5" s="53"/>
      <c r="C5" s="53"/>
      <c r="D5" s="53"/>
      <c r="E5" s="53"/>
    </row>
    <row r="6" spans="1:5" x14ac:dyDescent="0.2">
      <c r="A6" s="366" t="s">
        <v>334</v>
      </c>
      <c r="B6" s="53"/>
      <c r="C6" s="53"/>
      <c r="D6" s="53"/>
      <c r="E6" s="53"/>
    </row>
    <row r="7" spans="1:5" x14ac:dyDescent="0.2">
      <c r="A7" s="366" t="s">
        <v>335</v>
      </c>
      <c r="B7" s="53"/>
      <c r="C7" s="53"/>
      <c r="D7" s="53"/>
      <c r="E7" s="53"/>
    </row>
    <row r="8" spans="1:5" x14ac:dyDescent="0.2">
      <c r="A8" s="366" t="s">
        <v>336</v>
      </c>
      <c r="B8" s="53"/>
      <c r="C8" s="53"/>
      <c r="D8" s="53"/>
      <c r="E8" s="53"/>
    </row>
    <row r="9" spans="1:5" x14ac:dyDescent="0.2">
      <c r="A9" s="366" t="s">
        <v>337</v>
      </c>
      <c r="B9" s="53"/>
      <c r="C9" s="53"/>
      <c r="D9" s="53"/>
      <c r="E9" s="53"/>
    </row>
    <row r="10" spans="1:5" x14ac:dyDescent="0.2">
      <c r="A10" s="366" t="s">
        <v>338</v>
      </c>
      <c r="B10" s="53"/>
      <c r="C10" s="53"/>
      <c r="D10" s="53"/>
      <c r="E10" s="53"/>
    </row>
    <row r="11" spans="1:5" x14ac:dyDescent="0.2">
      <c r="A11" s="366" t="s">
        <v>339</v>
      </c>
      <c r="B11" s="53"/>
      <c r="C11" s="53"/>
      <c r="D11" s="53"/>
      <c r="E11" s="53"/>
    </row>
    <row r="12" spans="1:5" x14ac:dyDescent="0.2">
      <c r="A12" s="366" t="s">
        <v>340</v>
      </c>
      <c r="B12" s="53"/>
      <c r="C12" s="53"/>
      <c r="D12" s="53"/>
      <c r="E12" s="53"/>
    </row>
    <row r="13" spans="1:5" x14ac:dyDescent="0.2">
      <c r="A13" s="366" t="s">
        <v>341</v>
      </c>
      <c r="B13" s="53"/>
      <c r="C13" s="53"/>
      <c r="D13" s="53"/>
      <c r="E13" s="53"/>
    </row>
    <row r="14" spans="1:5" x14ac:dyDescent="0.2">
      <c r="A14" s="366" t="s">
        <v>342</v>
      </c>
      <c r="B14" s="53"/>
      <c r="C14" s="53"/>
      <c r="D14" s="53"/>
      <c r="E14" s="53"/>
    </row>
    <row r="15" spans="1:5" x14ac:dyDescent="0.2">
      <c r="B15" t="e">
        <f>AVERAGE(B3:B14)</f>
        <v>#DIV/0!</v>
      </c>
      <c r="C15" t="e">
        <f>AVERAGE(C3:C14)</f>
        <v>#DIV/0!</v>
      </c>
      <c r="D15" t="e">
        <f>AVERAGE(D3:D14)</f>
        <v>#DIV/0!</v>
      </c>
      <c r="E15" t="e">
        <f>AVERAGE(E3:E14)</f>
        <v>#DIV/0!</v>
      </c>
    </row>
  </sheetData>
  <mergeCells count="1">
    <mergeCell ref="B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4"/>
  <sheetViews>
    <sheetView workbookViewId="0">
      <selection activeCell="L14" sqref="L14"/>
    </sheetView>
  </sheetViews>
  <sheetFormatPr defaultRowHeight="12.75" x14ac:dyDescent="0.2"/>
  <cols>
    <col min="2" max="2" width="37.42578125" customWidth="1"/>
    <col min="3" max="3" width="14.140625" hidden="1" customWidth="1"/>
    <col min="4" max="4" width="14.7109375" hidden="1" customWidth="1"/>
    <col min="6" max="6" width="13" customWidth="1"/>
    <col min="7" max="7" width="15" customWidth="1"/>
    <col min="8" max="8" width="12.5703125" customWidth="1"/>
    <col min="9" max="9" width="8.85546875" hidden="1" customWidth="1"/>
    <col min="10" max="10" width="19.28515625" customWidth="1"/>
    <col min="11" max="11" width="7.85546875" customWidth="1"/>
  </cols>
  <sheetData>
    <row r="1" spans="1:7" ht="15.75" x14ac:dyDescent="0.25">
      <c r="A1" s="253" t="s">
        <v>288</v>
      </c>
      <c r="B1" s="254"/>
      <c r="C1" s="254"/>
      <c r="D1" s="254"/>
      <c r="E1" s="254"/>
      <c r="F1" s="255"/>
      <c r="G1" s="328" t="s">
        <v>289</v>
      </c>
    </row>
    <row r="2" spans="1:7" ht="16.5" thickBot="1" x14ac:dyDescent="0.3">
      <c r="A2" s="256" t="s">
        <v>290</v>
      </c>
      <c r="B2" s="257"/>
      <c r="C2" s="257"/>
      <c r="D2" s="257"/>
      <c r="E2" s="392"/>
      <c r="F2" s="393"/>
      <c r="G2" s="258"/>
    </row>
    <row r="3" spans="1:7" ht="60.75" thickBot="1" x14ac:dyDescent="0.25">
      <c r="A3" s="259" t="s">
        <v>291</v>
      </c>
      <c r="B3" s="260" t="s">
        <v>292</v>
      </c>
      <c r="C3" s="260" t="s">
        <v>293</v>
      </c>
      <c r="D3" s="260" t="s">
        <v>294</v>
      </c>
      <c r="E3" s="299" t="s">
        <v>295</v>
      </c>
      <c r="F3" s="297" t="s">
        <v>296</v>
      </c>
      <c r="G3" s="261" t="s">
        <v>297</v>
      </c>
    </row>
    <row r="4" spans="1:7" x14ac:dyDescent="0.2">
      <c r="A4" s="262">
        <v>1</v>
      </c>
      <c r="B4" s="263">
        <v>2</v>
      </c>
      <c r="C4" s="264">
        <v>3</v>
      </c>
      <c r="D4" s="264">
        <v>4</v>
      </c>
      <c r="E4" s="298">
        <v>3</v>
      </c>
      <c r="F4" s="265">
        <v>4</v>
      </c>
      <c r="G4" s="266">
        <v>5</v>
      </c>
    </row>
    <row r="5" spans="1:7" ht="42.75" x14ac:dyDescent="0.25">
      <c r="A5" s="267" t="s">
        <v>7</v>
      </c>
      <c r="B5" s="268" t="s">
        <v>298</v>
      </c>
      <c r="C5" s="268"/>
      <c r="D5" s="268"/>
      <c r="E5" s="269"/>
      <c r="F5" s="270">
        <f>SUM(F6:F9)</f>
        <v>0</v>
      </c>
      <c r="G5" s="271">
        <f>E5*F5</f>
        <v>0</v>
      </c>
    </row>
    <row r="6" spans="1:7" ht="30" x14ac:dyDescent="0.25">
      <c r="A6" s="272" t="s">
        <v>299</v>
      </c>
      <c r="B6" s="273" t="s">
        <v>300</v>
      </c>
      <c r="C6" s="273"/>
      <c r="D6" s="273"/>
      <c r="E6" s="274"/>
      <c r="F6" s="275"/>
      <c r="G6" s="276">
        <f t="shared" ref="G6:G22" si="0">E6*F6</f>
        <v>0</v>
      </c>
    </row>
    <row r="7" spans="1:7" ht="45" x14ac:dyDescent="0.25">
      <c r="A7" s="277" t="s">
        <v>11</v>
      </c>
      <c r="B7" s="273" t="s">
        <v>301</v>
      </c>
      <c r="C7" s="273"/>
      <c r="D7" s="273"/>
      <c r="E7" s="274"/>
      <c r="F7" s="278"/>
      <c r="G7" s="276">
        <f t="shared" si="0"/>
        <v>0</v>
      </c>
    </row>
    <row r="8" spans="1:7" ht="45" x14ac:dyDescent="0.25">
      <c r="A8" s="277" t="s">
        <v>12</v>
      </c>
      <c r="B8" s="279" t="s">
        <v>302</v>
      </c>
      <c r="C8" s="279"/>
      <c r="D8" s="279"/>
      <c r="E8" s="274"/>
      <c r="F8" s="278"/>
      <c r="G8" s="276">
        <f t="shared" si="0"/>
        <v>0</v>
      </c>
    </row>
    <row r="9" spans="1:7" ht="45" x14ac:dyDescent="0.25">
      <c r="A9" s="277" t="s">
        <v>14</v>
      </c>
      <c r="B9" s="279" t="s">
        <v>303</v>
      </c>
      <c r="C9" s="279"/>
      <c r="D9" s="279"/>
      <c r="E9" s="274"/>
      <c r="F9" s="278"/>
      <c r="G9" s="276">
        <f t="shared" si="0"/>
        <v>0</v>
      </c>
    </row>
    <row r="10" spans="1:7" ht="57" x14ac:dyDescent="0.25">
      <c r="A10" s="267" t="s">
        <v>16</v>
      </c>
      <c r="B10" s="268" t="s">
        <v>304</v>
      </c>
      <c r="C10" s="268"/>
      <c r="D10" s="268"/>
      <c r="E10" s="280"/>
      <c r="F10" s="281">
        <f>SUM(F11:F13)</f>
        <v>0</v>
      </c>
      <c r="G10" s="271">
        <f>E10*F10</f>
        <v>0</v>
      </c>
    </row>
    <row r="11" spans="1:7" ht="15" x14ac:dyDescent="0.25">
      <c r="A11" s="277" t="s">
        <v>18</v>
      </c>
      <c r="B11" s="279" t="s">
        <v>305</v>
      </c>
      <c r="C11" s="279"/>
      <c r="D11" s="279"/>
      <c r="E11" s="274"/>
      <c r="F11" s="278"/>
      <c r="G11" s="276">
        <f t="shared" si="0"/>
        <v>0</v>
      </c>
    </row>
    <row r="12" spans="1:7" ht="15" x14ac:dyDescent="0.25">
      <c r="A12" s="277" t="s">
        <v>20</v>
      </c>
      <c r="B12" s="279" t="s">
        <v>306</v>
      </c>
      <c r="C12" s="279"/>
      <c r="D12" s="279"/>
      <c r="E12" s="274"/>
      <c r="F12" s="278"/>
      <c r="G12" s="276">
        <f t="shared" si="0"/>
        <v>0</v>
      </c>
    </row>
    <row r="13" spans="1:7" ht="15" x14ac:dyDescent="0.25">
      <c r="A13" s="277" t="s">
        <v>20</v>
      </c>
      <c r="B13" s="279" t="s">
        <v>307</v>
      </c>
      <c r="C13" s="279"/>
      <c r="D13" s="279"/>
      <c r="E13" s="274"/>
      <c r="F13" s="278"/>
      <c r="G13" s="276">
        <f t="shared" si="0"/>
        <v>0</v>
      </c>
    </row>
    <row r="14" spans="1:7" ht="42.75" x14ac:dyDescent="0.25">
      <c r="A14" s="284">
        <v>3</v>
      </c>
      <c r="B14" s="283" t="s">
        <v>308</v>
      </c>
      <c r="C14" s="283"/>
      <c r="D14" s="283"/>
      <c r="E14" s="280"/>
      <c r="F14" s="281">
        <f>SUM(F15:F16)</f>
        <v>0</v>
      </c>
      <c r="G14" s="271">
        <f t="shared" si="0"/>
        <v>0</v>
      </c>
    </row>
    <row r="15" spans="1:7" ht="30" x14ac:dyDescent="0.25">
      <c r="A15" s="285" t="s">
        <v>24</v>
      </c>
      <c r="B15" s="279" t="s">
        <v>309</v>
      </c>
      <c r="C15" s="279"/>
      <c r="D15" s="279"/>
      <c r="E15" s="274"/>
      <c r="F15" s="275"/>
      <c r="G15" s="276">
        <f>E15*F15</f>
        <v>0</v>
      </c>
    </row>
    <row r="16" spans="1:7" ht="60" x14ac:dyDescent="0.25">
      <c r="A16" s="285" t="s">
        <v>48</v>
      </c>
      <c r="B16" s="279" t="s">
        <v>310</v>
      </c>
      <c r="C16" s="279"/>
      <c r="D16" s="279"/>
      <c r="E16" s="274"/>
      <c r="F16" s="275"/>
      <c r="G16" s="276">
        <f t="shared" si="0"/>
        <v>0</v>
      </c>
    </row>
    <row r="17" spans="1:12" ht="57" x14ac:dyDescent="0.25">
      <c r="A17" s="282" t="s">
        <v>49</v>
      </c>
      <c r="B17" s="283" t="s">
        <v>311</v>
      </c>
      <c r="C17" s="283"/>
      <c r="D17" s="283"/>
      <c r="E17" s="280"/>
      <c r="F17" s="281">
        <f>SUM(F18:F19)</f>
        <v>0</v>
      </c>
      <c r="G17" s="271">
        <f>E17*F17</f>
        <v>0</v>
      </c>
    </row>
    <row r="18" spans="1:12" ht="15" x14ac:dyDescent="0.25">
      <c r="A18" s="277" t="s">
        <v>26</v>
      </c>
      <c r="B18" s="273" t="s">
        <v>312</v>
      </c>
      <c r="C18" s="273"/>
      <c r="D18" s="273"/>
      <c r="E18" s="274"/>
      <c r="F18" s="278"/>
      <c r="G18" s="276">
        <f>E18*F18</f>
        <v>0</v>
      </c>
    </row>
    <row r="19" spans="1:12" ht="15" x14ac:dyDescent="0.25">
      <c r="A19" s="277"/>
      <c r="B19" s="273"/>
      <c r="C19" s="273"/>
      <c r="D19" s="273"/>
      <c r="E19" s="274"/>
      <c r="F19" s="278"/>
      <c r="G19" s="276">
        <f>E19*F19</f>
        <v>0</v>
      </c>
    </row>
    <row r="20" spans="1:12" ht="42.75" x14ac:dyDescent="0.25">
      <c r="A20" s="267" t="s">
        <v>29</v>
      </c>
      <c r="B20" s="268" t="s">
        <v>313</v>
      </c>
      <c r="C20" s="268"/>
      <c r="D20" s="268"/>
      <c r="E20" s="280"/>
      <c r="F20" s="281">
        <f>SUM(F21:F21)</f>
        <v>0</v>
      </c>
      <c r="G20" s="271">
        <f t="shared" si="0"/>
        <v>0</v>
      </c>
    </row>
    <row r="21" spans="1:12" ht="15.75" thickBot="1" x14ac:dyDescent="0.3">
      <c r="A21" s="285" t="s">
        <v>30</v>
      </c>
      <c r="B21" s="279" t="s">
        <v>314</v>
      </c>
      <c r="C21" s="279"/>
      <c r="D21" s="279"/>
      <c r="E21" s="274"/>
      <c r="F21" s="278"/>
      <c r="G21" s="276">
        <f t="shared" si="0"/>
        <v>0</v>
      </c>
    </row>
    <row r="22" spans="1:12" ht="15.75" thickBot="1" x14ac:dyDescent="0.3">
      <c r="A22" s="286"/>
      <c r="B22" s="287" t="s">
        <v>315</v>
      </c>
      <c r="C22" s="288"/>
      <c r="D22" s="287"/>
      <c r="E22" s="288">
        <v>1</v>
      </c>
      <c r="F22" s="289">
        <f>F5+F10+F17+F14+F20</f>
        <v>0</v>
      </c>
      <c r="G22" s="300">
        <f t="shared" si="0"/>
        <v>0</v>
      </c>
      <c r="H22" s="314"/>
      <c r="I22" s="315"/>
      <c r="J22" s="316" t="s">
        <v>316</v>
      </c>
      <c r="K22" s="317"/>
      <c r="L22" s="12"/>
    </row>
    <row r="23" spans="1:12" ht="26.25" x14ac:dyDescent="0.25">
      <c r="A23" s="290"/>
      <c r="B23" s="291"/>
      <c r="C23" s="292"/>
      <c r="D23" s="293"/>
      <c r="E23" s="294" t="s">
        <v>317</v>
      </c>
      <c r="F23" s="295"/>
      <c r="G23" s="301" t="e">
        <f>F23/G22</f>
        <v>#DIV/0!</v>
      </c>
      <c r="H23" s="361" t="s">
        <v>318</v>
      </c>
      <c r="I23" s="321"/>
      <c r="J23" s="362" t="s">
        <v>319</v>
      </c>
      <c r="K23" s="322"/>
      <c r="L23" s="318"/>
    </row>
    <row r="24" spans="1:12" ht="15" x14ac:dyDescent="0.25">
      <c r="A24" s="290"/>
      <c r="B24" s="291"/>
      <c r="C24" s="292"/>
      <c r="D24" s="293"/>
      <c r="E24" s="294" t="s">
        <v>320</v>
      </c>
      <c r="F24" s="296">
        <f>F22-F23</f>
        <v>0</v>
      </c>
      <c r="G24" s="302" t="e">
        <f>F24/G22</f>
        <v>#DIV/0!</v>
      </c>
      <c r="H24" s="323">
        <v>0.8</v>
      </c>
      <c r="I24" s="321"/>
      <c r="J24" s="319">
        <v>15000</v>
      </c>
      <c r="K24" s="322" t="s">
        <v>321</v>
      </c>
      <c r="L24" s="318"/>
    </row>
    <row r="25" spans="1:12" ht="13.5" thickBot="1" x14ac:dyDescent="0.25">
      <c r="H25" s="324">
        <v>0.2</v>
      </c>
      <c r="I25" s="325"/>
      <c r="J25" s="325"/>
      <c r="K25" s="326"/>
      <c r="L25" s="318"/>
    </row>
    <row r="26" spans="1:12" x14ac:dyDescent="0.2">
      <c r="H26" s="327"/>
      <c r="I26" s="327"/>
      <c r="J26" s="327"/>
      <c r="K26" s="327"/>
      <c r="L26" s="12"/>
    </row>
    <row r="28" spans="1:12" x14ac:dyDescent="0.2">
      <c r="A28" s="303"/>
      <c r="B28" s="312" t="s">
        <v>322</v>
      </c>
      <c r="C28" s="304"/>
      <c r="D28" s="304"/>
      <c r="E28" s="304"/>
      <c r="F28" s="305"/>
    </row>
    <row r="29" spans="1:12" x14ac:dyDescent="0.2">
      <c r="A29" s="306" t="s">
        <v>44</v>
      </c>
      <c r="B29" s="307" t="s">
        <v>323</v>
      </c>
      <c r="C29" s="307"/>
      <c r="D29" s="307"/>
      <c r="E29" s="307">
        <v>4500</v>
      </c>
      <c r="F29" s="308" t="s">
        <v>324</v>
      </c>
    </row>
    <row r="30" spans="1:12" ht="25.5" x14ac:dyDescent="0.2">
      <c r="A30" s="306"/>
      <c r="B30" s="363" t="s">
        <v>325</v>
      </c>
      <c r="C30" s="307"/>
      <c r="D30" s="307"/>
      <c r="E30" s="364">
        <v>3600</v>
      </c>
      <c r="F30" s="365">
        <v>0.8</v>
      </c>
    </row>
    <row r="31" spans="1:12" x14ac:dyDescent="0.2">
      <c r="A31" s="306"/>
      <c r="B31" s="307" t="s">
        <v>326</v>
      </c>
      <c r="C31" s="307"/>
      <c r="D31" s="307"/>
      <c r="E31" s="307">
        <v>900</v>
      </c>
      <c r="F31" s="313">
        <v>0.2</v>
      </c>
      <c r="H31" s="12"/>
      <c r="I31" s="12"/>
      <c r="J31" s="12"/>
      <c r="K31" s="12"/>
      <c r="L31" s="12"/>
    </row>
    <row r="32" spans="1:12" x14ac:dyDescent="0.2">
      <c r="A32" s="309"/>
      <c r="B32" s="310"/>
      <c r="C32" s="310"/>
      <c r="D32" s="310"/>
      <c r="E32" s="310"/>
      <c r="F32" s="311"/>
      <c r="H32" s="12"/>
      <c r="I32" s="12"/>
      <c r="J32" s="12"/>
      <c r="K32" s="12"/>
      <c r="L32" s="12"/>
    </row>
    <row r="34" spans="1:1" x14ac:dyDescent="0.2">
      <c r="A34" t="s">
        <v>327</v>
      </c>
    </row>
  </sheetData>
  <mergeCells count="1">
    <mergeCell ref="E2:F2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eht7"/>
  <dimension ref="A1:L34"/>
  <sheetViews>
    <sheetView workbookViewId="0">
      <selection activeCell="P8" sqref="P8"/>
    </sheetView>
  </sheetViews>
  <sheetFormatPr defaultRowHeight="12.75" x14ac:dyDescent="0.2"/>
  <cols>
    <col min="2" max="2" width="37.42578125" customWidth="1"/>
    <col min="3" max="3" width="14.140625" hidden="1" customWidth="1"/>
    <col min="4" max="4" width="14.7109375" hidden="1" customWidth="1"/>
    <col min="6" max="6" width="13" customWidth="1"/>
    <col min="7" max="7" width="15" customWidth="1"/>
    <col min="8" max="8" width="10.28515625" customWidth="1"/>
    <col min="9" max="9" width="8.85546875" hidden="1" customWidth="1"/>
    <col min="10" max="10" width="19.28515625" customWidth="1"/>
    <col min="11" max="11" width="7.85546875" customWidth="1"/>
  </cols>
  <sheetData>
    <row r="1" spans="1:7" ht="15.75" x14ac:dyDescent="0.25">
      <c r="A1" s="253" t="s">
        <v>47</v>
      </c>
      <c r="B1" s="254"/>
      <c r="C1" s="254"/>
      <c r="D1" s="254"/>
      <c r="E1" s="254"/>
      <c r="F1" s="255"/>
      <c r="G1" s="328" t="s">
        <v>46</v>
      </c>
    </row>
    <row r="2" spans="1:7" ht="16.5" thickBot="1" x14ac:dyDescent="0.3">
      <c r="A2" s="256" t="s">
        <v>37</v>
      </c>
      <c r="B2" s="257"/>
      <c r="C2" s="257"/>
      <c r="D2" s="257"/>
      <c r="E2" s="392"/>
      <c r="F2" s="393"/>
      <c r="G2" s="258"/>
    </row>
    <row r="3" spans="1:7" ht="69" customHeight="1" thickBot="1" x14ac:dyDescent="0.25">
      <c r="A3" s="259" t="s">
        <v>0</v>
      </c>
      <c r="B3" s="260" t="s">
        <v>1</v>
      </c>
      <c r="C3" s="260" t="s">
        <v>2</v>
      </c>
      <c r="D3" s="260" t="s">
        <v>3</v>
      </c>
      <c r="E3" s="299" t="s">
        <v>4</v>
      </c>
      <c r="F3" s="297" t="s">
        <v>5</v>
      </c>
      <c r="G3" s="261" t="s">
        <v>6</v>
      </c>
    </row>
    <row r="4" spans="1:7" ht="13.9" customHeight="1" x14ac:dyDescent="0.2">
      <c r="A4" s="262">
        <v>1</v>
      </c>
      <c r="B4" s="263">
        <v>2</v>
      </c>
      <c r="C4" s="264">
        <v>3</v>
      </c>
      <c r="D4" s="264">
        <v>4</v>
      </c>
      <c r="E4" s="298">
        <v>3</v>
      </c>
      <c r="F4" s="265">
        <v>4</v>
      </c>
      <c r="G4" s="266">
        <v>5</v>
      </c>
    </row>
    <row r="5" spans="1:7" ht="36" customHeight="1" x14ac:dyDescent="0.25">
      <c r="A5" s="267" t="s">
        <v>7</v>
      </c>
      <c r="B5" s="268" t="s">
        <v>8</v>
      </c>
      <c r="C5" s="268"/>
      <c r="D5" s="268"/>
      <c r="E5" s="269"/>
      <c r="F5" s="270">
        <f>SUM(F6:F9)</f>
        <v>0</v>
      </c>
      <c r="G5" s="271">
        <f>E5*F5</f>
        <v>0</v>
      </c>
    </row>
    <row r="6" spans="1:7" ht="26.45" customHeight="1" x14ac:dyDescent="0.25">
      <c r="A6" s="272" t="s">
        <v>9</v>
      </c>
      <c r="B6" s="273" t="s">
        <v>10</v>
      </c>
      <c r="C6" s="273"/>
      <c r="D6" s="273"/>
      <c r="E6" s="274"/>
      <c r="F6" s="275"/>
      <c r="G6" s="276">
        <f t="shared" ref="G6:G22" si="0">E6*F6</f>
        <v>0</v>
      </c>
    </row>
    <row r="7" spans="1:7" ht="34.15" customHeight="1" x14ac:dyDescent="0.25">
      <c r="A7" s="277" t="s">
        <v>11</v>
      </c>
      <c r="B7" s="273" t="s">
        <v>52</v>
      </c>
      <c r="C7" s="273"/>
      <c r="D7" s="273"/>
      <c r="E7" s="274"/>
      <c r="F7" s="278"/>
      <c r="G7" s="276">
        <f t="shared" si="0"/>
        <v>0</v>
      </c>
    </row>
    <row r="8" spans="1:7" ht="31.5" customHeight="1" x14ac:dyDescent="0.25">
      <c r="A8" s="277" t="s">
        <v>12</v>
      </c>
      <c r="B8" s="279" t="s">
        <v>13</v>
      </c>
      <c r="C8" s="279"/>
      <c r="D8" s="279"/>
      <c r="E8" s="274"/>
      <c r="F8" s="278"/>
      <c r="G8" s="276">
        <f t="shared" si="0"/>
        <v>0</v>
      </c>
    </row>
    <row r="9" spans="1:7" ht="31.15" customHeight="1" x14ac:dyDescent="0.25">
      <c r="A9" s="277" t="s">
        <v>14</v>
      </c>
      <c r="B9" s="279" t="s">
        <v>15</v>
      </c>
      <c r="C9" s="279"/>
      <c r="D9" s="279"/>
      <c r="E9" s="274"/>
      <c r="F9" s="278"/>
      <c r="G9" s="276">
        <f t="shared" si="0"/>
        <v>0</v>
      </c>
    </row>
    <row r="10" spans="1:7" ht="48" customHeight="1" x14ac:dyDescent="0.25">
      <c r="A10" s="267" t="s">
        <v>16</v>
      </c>
      <c r="B10" s="268" t="s">
        <v>17</v>
      </c>
      <c r="C10" s="268"/>
      <c r="D10" s="268"/>
      <c r="E10" s="280"/>
      <c r="F10" s="281">
        <f>SUM(F11:F13)</f>
        <v>0</v>
      </c>
      <c r="G10" s="271">
        <f>E10*F10</f>
        <v>0</v>
      </c>
    </row>
    <row r="11" spans="1:7" ht="15" x14ac:dyDescent="0.25">
      <c r="A11" s="277" t="s">
        <v>18</v>
      </c>
      <c r="B11" s="279" t="s">
        <v>19</v>
      </c>
      <c r="C11" s="279"/>
      <c r="D11" s="279"/>
      <c r="E11" s="274"/>
      <c r="F11" s="278"/>
      <c r="G11" s="276">
        <f t="shared" si="0"/>
        <v>0</v>
      </c>
    </row>
    <row r="12" spans="1:7" ht="15" x14ac:dyDescent="0.25">
      <c r="A12" s="277" t="s">
        <v>20</v>
      </c>
      <c r="B12" s="279" t="s">
        <v>21</v>
      </c>
      <c r="C12" s="279"/>
      <c r="D12" s="279"/>
      <c r="E12" s="274"/>
      <c r="F12" s="278"/>
      <c r="G12" s="276">
        <f t="shared" si="0"/>
        <v>0</v>
      </c>
    </row>
    <row r="13" spans="1:7" ht="15" x14ac:dyDescent="0.25">
      <c r="A13" s="277" t="s">
        <v>53</v>
      </c>
      <c r="B13" s="279" t="s">
        <v>22</v>
      </c>
      <c r="C13" s="279"/>
      <c r="D13" s="279"/>
      <c r="E13" s="274"/>
      <c r="F13" s="278"/>
      <c r="G13" s="276">
        <f t="shared" si="0"/>
        <v>0</v>
      </c>
    </row>
    <row r="14" spans="1:7" ht="46.15" customHeight="1" x14ac:dyDescent="0.25">
      <c r="A14" s="284">
        <v>3</v>
      </c>
      <c r="B14" s="283" t="s">
        <v>25</v>
      </c>
      <c r="C14" s="283"/>
      <c r="D14" s="283"/>
      <c r="E14" s="280"/>
      <c r="F14" s="281">
        <f>SUM(F15:F16)</f>
        <v>0</v>
      </c>
      <c r="G14" s="271">
        <f t="shared" si="0"/>
        <v>0</v>
      </c>
    </row>
    <row r="15" spans="1:7" ht="37.15" customHeight="1" x14ac:dyDescent="0.25">
      <c r="A15" s="285" t="s">
        <v>24</v>
      </c>
      <c r="B15" s="279" t="s">
        <v>27</v>
      </c>
      <c r="C15" s="279"/>
      <c r="D15" s="279"/>
      <c r="E15" s="274"/>
      <c r="F15" s="275"/>
      <c r="G15" s="276">
        <f>E15*F15</f>
        <v>0</v>
      </c>
    </row>
    <row r="16" spans="1:7" ht="50.45" customHeight="1" x14ac:dyDescent="0.25">
      <c r="A16" s="285" t="s">
        <v>48</v>
      </c>
      <c r="B16" s="279" t="s">
        <v>28</v>
      </c>
      <c r="C16" s="279"/>
      <c r="D16" s="279"/>
      <c r="E16" s="274"/>
      <c r="F16" s="275"/>
      <c r="G16" s="276">
        <f t="shared" si="0"/>
        <v>0</v>
      </c>
    </row>
    <row r="17" spans="1:12" ht="54" customHeight="1" x14ac:dyDescent="0.25">
      <c r="A17" s="282" t="s">
        <v>49</v>
      </c>
      <c r="B17" s="283" t="s">
        <v>23</v>
      </c>
      <c r="C17" s="283"/>
      <c r="D17" s="283"/>
      <c r="E17" s="280"/>
      <c r="F17" s="281">
        <f>SUM(F18:F19)</f>
        <v>0</v>
      </c>
      <c r="G17" s="271">
        <f>E17*F17</f>
        <v>0</v>
      </c>
    </row>
    <row r="18" spans="1:12" ht="15" x14ac:dyDescent="0.25">
      <c r="A18" s="277" t="s">
        <v>26</v>
      </c>
      <c r="B18" s="273" t="s">
        <v>39</v>
      </c>
      <c r="C18" s="273"/>
      <c r="D18" s="273"/>
      <c r="E18" s="274"/>
      <c r="F18" s="278"/>
      <c r="G18" s="276">
        <f>E18*F18</f>
        <v>0</v>
      </c>
    </row>
    <row r="19" spans="1:12" ht="15" x14ac:dyDescent="0.25">
      <c r="A19" s="277"/>
      <c r="B19" s="273"/>
      <c r="C19" s="273"/>
      <c r="D19" s="273"/>
      <c r="E19" s="274"/>
      <c r="F19" s="278"/>
      <c r="G19" s="276">
        <f>E19*F19</f>
        <v>0</v>
      </c>
    </row>
    <row r="20" spans="1:12" ht="42.75" x14ac:dyDescent="0.25">
      <c r="A20" s="267" t="s">
        <v>29</v>
      </c>
      <c r="B20" s="268" t="s">
        <v>50</v>
      </c>
      <c r="C20" s="268"/>
      <c r="D20" s="268"/>
      <c r="E20" s="280"/>
      <c r="F20" s="281">
        <f>SUM(F21:F21)</f>
        <v>0</v>
      </c>
      <c r="G20" s="271">
        <f t="shared" si="0"/>
        <v>0</v>
      </c>
    </row>
    <row r="21" spans="1:12" ht="23.45" customHeight="1" thickBot="1" x14ac:dyDescent="0.3">
      <c r="A21" s="285" t="s">
        <v>30</v>
      </c>
      <c r="B21" s="279" t="s">
        <v>51</v>
      </c>
      <c r="C21" s="279"/>
      <c r="D21" s="279"/>
      <c r="E21" s="274"/>
      <c r="F21" s="278"/>
      <c r="G21" s="276">
        <f t="shared" si="0"/>
        <v>0</v>
      </c>
    </row>
    <row r="22" spans="1:12" ht="15.75" thickBot="1" x14ac:dyDescent="0.3">
      <c r="A22" s="286"/>
      <c r="B22" s="287" t="s">
        <v>31</v>
      </c>
      <c r="C22" s="288"/>
      <c r="D22" s="287"/>
      <c r="E22" s="288">
        <v>1</v>
      </c>
      <c r="F22" s="289">
        <f>F5+F10+F17+F14+F20</f>
        <v>0</v>
      </c>
      <c r="G22" s="300">
        <f t="shared" si="0"/>
        <v>0</v>
      </c>
      <c r="H22" s="314"/>
      <c r="I22" s="315"/>
      <c r="J22" s="316" t="s">
        <v>38</v>
      </c>
      <c r="K22" s="317"/>
      <c r="L22" s="12"/>
    </row>
    <row r="23" spans="1:12" ht="20.45" customHeight="1" x14ac:dyDescent="0.25">
      <c r="A23" s="290"/>
      <c r="B23" s="291"/>
      <c r="C23" s="292"/>
      <c r="D23" s="293"/>
      <c r="E23" s="294" t="s">
        <v>32</v>
      </c>
      <c r="F23" s="295"/>
      <c r="G23" s="301" t="e">
        <f>F23/G22</f>
        <v>#DIV/0!</v>
      </c>
      <c r="H23" s="320" t="s">
        <v>35</v>
      </c>
      <c r="I23" s="321"/>
      <c r="J23" s="321" t="s">
        <v>36</v>
      </c>
      <c r="K23" s="322"/>
      <c r="L23" s="318"/>
    </row>
    <row r="24" spans="1:12" ht="18" customHeight="1" x14ac:dyDescent="0.25">
      <c r="A24" s="290"/>
      <c r="B24" s="291"/>
      <c r="C24" s="292"/>
      <c r="D24" s="293"/>
      <c r="E24" s="294" t="s">
        <v>33</v>
      </c>
      <c r="F24" s="296">
        <f>F22-F23</f>
        <v>0</v>
      </c>
      <c r="G24" s="302" t="e">
        <f>F24/G22</f>
        <v>#DIV/0!</v>
      </c>
      <c r="H24" s="323">
        <v>0.8</v>
      </c>
      <c r="I24" s="321"/>
      <c r="J24" s="319">
        <v>15000</v>
      </c>
      <c r="K24" s="322" t="s">
        <v>34</v>
      </c>
      <c r="L24" s="318"/>
    </row>
    <row r="25" spans="1:12" ht="19.899999999999999" customHeight="1" thickBot="1" x14ac:dyDescent="0.25">
      <c r="H25" s="324">
        <v>0.2</v>
      </c>
      <c r="I25" s="325"/>
      <c r="J25" s="325"/>
      <c r="K25" s="326"/>
      <c r="L25" s="318"/>
    </row>
    <row r="26" spans="1:12" x14ac:dyDescent="0.2">
      <c r="H26" s="327"/>
      <c r="I26" s="327"/>
      <c r="J26" s="327"/>
      <c r="K26" s="327"/>
      <c r="L26" s="12"/>
    </row>
    <row r="28" spans="1:12" x14ac:dyDescent="0.2">
      <c r="A28" s="303"/>
      <c r="B28" s="312" t="s">
        <v>45</v>
      </c>
      <c r="C28" s="304"/>
      <c r="D28" s="304"/>
      <c r="E28" s="304"/>
      <c r="F28" s="305"/>
    </row>
    <row r="29" spans="1:12" ht="28.15" customHeight="1" x14ac:dyDescent="0.2">
      <c r="A29" s="306" t="s">
        <v>44</v>
      </c>
      <c r="B29" s="307" t="s">
        <v>40</v>
      </c>
      <c r="C29" s="307"/>
      <c r="D29" s="307"/>
      <c r="E29" s="307">
        <v>4500</v>
      </c>
      <c r="F29" s="308" t="s">
        <v>41</v>
      </c>
    </row>
    <row r="30" spans="1:12" x14ac:dyDescent="0.2">
      <c r="A30" s="306"/>
      <c r="B30" s="307" t="s">
        <v>42</v>
      </c>
      <c r="C30" s="307"/>
      <c r="D30" s="307"/>
      <c r="E30" s="307">
        <v>3600</v>
      </c>
      <c r="F30" s="313">
        <v>0.8</v>
      </c>
    </row>
    <row r="31" spans="1:12" x14ac:dyDescent="0.2">
      <c r="A31" s="306"/>
      <c r="B31" s="307" t="s">
        <v>43</v>
      </c>
      <c r="C31" s="307"/>
      <c r="D31" s="307"/>
      <c r="E31" s="307">
        <v>900</v>
      </c>
      <c r="F31" s="313">
        <v>0.2</v>
      </c>
      <c r="H31" s="12"/>
      <c r="I31" s="12"/>
      <c r="J31" s="12"/>
      <c r="K31" s="12"/>
      <c r="L31" s="12"/>
    </row>
    <row r="32" spans="1:12" x14ac:dyDescent="0.2">
      <c r="A32" s="309"/>
      <c r="B32" s="310"/>
      <c r="C32" s="310"/>
      <c r="D32" s="310"/>
      <c r="E32" s="310"/>
      <c r="F32" s="311"/>
      <c r="H32" s="12"/>
      <c r="I32" s="12"/>
      <c r="J32" s="12"/>
      <c r="K32" s="12"/>
      <c r="L32" s="12"/>
    </row>
    <row r="34" spans="1:1" x14ac:dyDescent="0.2">
      <c r="A34" s="339" t="s">
        <v>54</v>
      </c>
    </row>
  </sheetData>
  <mergeCells count="1">
    <mergeCell ref="E2:F2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Исходные данные </vt:lpstr>
      <vt:lpstr>Продукция</vt:lpstr>
      <vt:lpstr>Кассовый денежный поток</vt:lpstr>
      <vt:lpstr>Отчет о прибыли</vt:lpstr>
      <vt:lpstr>Баланс</vt:lpstr>
      <vt:lpstr>Работники</vt:lpstr>
      <vt:lpstr>образец бюджета пособия</vt:lpstr>
      <vt:lpstr>grant budget sample</vt:lpstr>
      <vt:lpstr>kohu1</vt:lpstr>
      <vt:lpstr>kohu2</vt:lpstr>
      <vt:lpstr>'Отчет о прибыли'!Print_Area</vt:lpstr>
      <vt:lpstr>Продукция!Print_Area</vt:lpstr>
      <vt:lpstr>'Кассовый денежный поток'!Print_Titles</vt:lpstr>
      <vt:lpstr>Продукция!Print_Titles</vt:lpstr>
      <vt:lpstr>raha1</vt:lpstr>
      <vt:lpstr>raha2</vt:lpstr>
    </vt:vector>
  </TitlesOfParts>
  <Company>Ettevõtluse Arenduse Sihtasutus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 Karu</dc:creator>
  <cp:lastModifiedBy>Merit Tints</cp:lastModifiedBy>
  <cp:lastPrinted>2015-05-12T09:58:37Z</cp:lastPrinted>
  <dcterms:created xsi:type="dcterms:W3CDTF">2004-12-15T09:01:57Z</dcterms:created>
  <dcterms:modified xsi:type="dcterms:W3CDTF">2022-06-01T08:26:01Z</dcterms:modified>
</cp:coreProperties>
</file>